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 firstSheet="12" activeTab="16"/>
  </bookViews>
  <sheets>
    <sheet name="Tabela Nr 1" sheetId="77" r:id="rId1"/>
    <sheet name="Tabela Nr 2" sheetId="78" r:id="rId2"/>
    <sheet name="Tabela Nr 3" sheetId="76" r:id="rId3"/>
    <sheet name="Załącznik Nr 1" sheetId="37" r:id="rId4"/>
    <sheet name="Załącznik Nr 2" sheetId="54" r:id="rId5"/>
    <sheet name="Załącznik Nr 3" sheetId="55" r:id="rId6"/>
    <sheet name="Załącznik Nr 4" sheetId="40" r:id="rId7"/>
    <sheet name="Załącznik Nr 5" sheetId="41" r:id="rId8"/>
    <sheet name="Załącznik Nr 6" sheetId="42" r:id="rId9"/>
    <sheet name="Załącznik Nr 7" sheetId="69" r:id="rId10"/>
    <sheet name=" Załącznik Nr 8" sheetId="73" r:id="rId11"/>
    <sheet name="Załącznik Nr 9" sheetId="74" r:id="rId12"/>
    <sheet name="Załącznik Nr 10" sheetId="75" r:id="rId13"/>
    <sheet name="Zał Nr 11 adm.rząd.doch." sheetId="70" r:id="rId14"/>
    <sheet name="Zał Nr 11 adm.rzad.wyd." sheetId="71" r:id="rId15"/>
    <sheet name="Załącznik Nr 12" sheetId="72" r:id="rId16"/>
    <sheet name="Załącznik Nr 13" sheetId="44" r:id="rId17"/>
  </sheets>
  <definedNames>
    <definedName name="_xlnm.Print_Area" localSheetId="10">' Załącznik Nr 8'!$A$1:$G$14</definedName>
    <definedName name="_xlnm.Print_Area" localSheetId="0">'Tabela Nr 1'!$A$1:$E$336</definedName>
    <definedName name="_xlnm.Print_Area" localSheetId="1">'Tabela Nr 2'!$A$1:$E$1662</definedName>
    <definedName name="_xlnm.Print_Area" localSheetId="2">'Tabela Nr 3'!$A$1:$J$1505</definedName>
    <definedName name="_xlnm.Print_Area" localSheetId="14">'Zał Nr 11 adm.rzad.wyd.'!$A$1:$L$100</definedName>
    <definedName name="_xlnm.Print_Area" localSheetId="13">'Zał Nr 11 adm.rząd.doch.'!$A$1:$E$46</definedName>
    <definedName name="_xlnm.Print_Area" localSheetId="3">'Załącznik Nr 1'!$A$1:$F$50</definedName>
    <definedName name="_xlnm.Print_Area" localSheetId="12">'Załącznik Nr 10'!$A$1:$G$10</definedName>
    <definedName name="_xlnm.Print_Area" localSheetId="15">'Załącznik Nr 12'!$A$1:$G$28</definedName>
    <definedName name="_xlnm.Print_Area" localSheetId="16">'Załącznik Nr 13'!$A$1:$D$24</definedName>
    <definedName name="_xlnm.Print_Area" localSheetId="4">'Załącznik Nr 2'!$A$1:$I$47</definedName>
    <definedName name="_xlnm.Print_Area" localSheetId="5">'Załącznik Nr 3'!$A$1:$H$22</definedName>
    <definedName name="_xlnm.Print_Area" localSheetId="6">'Załącznik Nr 4'!$A$1:$H$7</definedName>
    <definedName name="_xlnm.Print_Area" localSheetId="7">'Załącznik Nr 5'!$A$1:$I$17</definedName>
    <definedName name="_xlnm.Print_Area" localSheetId="8">'Załącznik Nr 6'!$A$1:$I$9</definedName>
    <definedName name="_xlnm.Print_Area" localSheetId="9">'Załącznik Nr 7'!$A$1:$K$24</definedName>
    <definedName name="_xlnm.Print_Area" localSheetId="11">'Załącznik Nr 9'!$A$1:$G$40</definedName>
    <definedName name="_xlnm.Print_Titles" localSheetId="0">'Tabela Nr 1'!$7:$9</definedName>
    <definedName name="_xlnm.Print_Titles" localSheetId="1">'Tabela Nr 2'!$6:$7</definedName>
    <definedName name="_xlnm.Print_Titles" localSheetId="2">'Tabela Nr 3'!$5:$6</definedName>
    <definedName name="_xlnm.Print_Titles" localSheetId="14">'Zał Nr 11 adm.rzad.wyd.'!$1:$5</definedName>
    <definedName name="_xlnm.Print_Titles" localSheetId="4">'Załącznik Nr 2'!$4:$6</definedName>
    <definedName name="_xlnm.Print_Titles" localSheetId="5">'Załącznik Nr 3'!$3:$4</definedName>
    <definedName name="_xlnm.Print_Titles" localSheetId="7">'Załącznik Nr 5'!$4:$6</definedName>
  </definedNames>
  <calcPr calcId="152511"/>
</workbook>
</file>

<file path=xl/calcChain.xml><?xml version="1.0" encoding="utf-8"?>
<calcChain xmlns="http://schemas.openxmlformats.org/spreadsheetml/2006/main">
  <c r="J42" i="54" l="1"/>
  <c r="G959" i="76" l="1"/>
  <c r="H958" i="76"/>
  <c r="F657" i="76"/>
  <c r="F658" i="76"/>
  <c r="F659" i="76"/>
  <c r="G659" i="76"/>
  <c r="H196" i="76"/>
  <c r="G195" i="76"/>
  <c r="H194" i="76"/>
  <c r="G193" i="76"/>
  <c r="H187" i="76"/>
  <c r="G1075" i="76"/>
  <c r="H1074" i="76"/>
  <c r="G1071" i="76"/>
  <c r="H1070" i="76"/>
  <c r="F11" i="74" l="1"/>
  <c r="E10" i="74"/>
  <c r="F15" i="41"/>
  <c r="H47" i="54"/>
  <c r="E1544" i="78" l="1"/>
  <c r="E1539" i="78"/>
  <c r="E816" i="78"/>
  <c r="E806" i="78"/>
  <c r="E648" i="78"/>
  <c r="E318" i="78"/>
  <c r="E309" i="78"/>
  <c r="E148" i="78"/>
  <c r="E469" i="78"/>
  <c r="E468" i="78"/>
  <c r="E466" i="78"/>
  <c r="E465" i="78"/>
  <c r="E461" i="78"/>
  <c r="E460" i="78"/>
  <c r="E458" i="78"/>
  <c r="E457" i="78"/>
  <c r="E435" i="78"/>
  <c r="E434" i="78"/>
  <c r="E433" i="78"/>
  <c r="E316" i="78"/>
  <c r="E307" i="78"/>
  <c r="E210" i="77" l="1"/>
  <c r="E208" i="77"/>
  <c r="E206" i="77"/>
  <c r="E204" i="77"/>
  <c r="E203" i="77"/>
  <c r="E72" i="77"/>
  <c r="E6" i="40" l="1"/>
  <c r="F7" i="40"/>
  <c r="G7" i="40"/>
  <c r="E35" i="54"/>
  <c r="E7" i="55"/>
  <c r="E8" i="55"/>
  <c r="E9" i="55"/>
  <c r="E10" i="55"/>
  <c r="E11" i="55"/>
  <c r="E12" i="55"/>
  <c r="E13" i="55"/>
  <c r="E14" i="55"/>
  <c r="E15" i="55"/>
  <c r="E16" i="55"/>
  <c r="E17" i="55"/>
  <c r="E18" i="55"/>
  <c r="E19" i="55"/>
  <c r="E20" i="55"/>
  <c r="E21" i="55"/>
  <c r="E6" i="55"/>
  <c r="E5" i="55"/>
  <c r="E1389" i="78" l="1"/>
  <c r="E1390" i="78"/>
  <c r="E1657" i="78" l="1"/>
  <c r="E1656" i="78"/>
  <c r="E1654" i="78"/>
  <c r="E1642" i="78"/>
  <c r="E1638" i="78"/>
  <c r="E1634" i="78"/>
  <c r="E1630" i="78"/>
  <c r="E1629" i="78"/>
  <c r="E1628" i="78"/>
  <c r="E1627" i="78" s="1"/>
  <c r="E1626" i="78" s="1"/>
  <c r="E1624" i="78"/>
  <c r="E1623" i="78"/>
  <c r="E1622" i="78" s="1"/>
  <c r="E1621" i="78" s="1"/>
  <c r="E1619" i="78"/>
  <c r="E1602" i="78"/>
  <c r="E1594" i="78" s="1"/>
  <c r="E1593" i="78" s="1"/>
  <c r="E1592" i="78" s="1"/>
  <c r="E1591" i="78" s="1"/>
  <c r="E1595" i="78"/>
  <c r="E1588" i="78"/>
  <c r="E1582" i="78"/>
  <c r="E1581" i="78"/>
  <c r="E1561" i="78"/>
  <c r="E1557" i="78"/>
  <c r="E1552" i="78"/>
  <c r="E1551" i="78"/>
  <c r="E1550" i="78" s="1"/>
  <c r="E1549" i="78"/>
  <c r="E1547" i="78"/>
  <c r="E1546" i="78"/>
  <c r="E1545" i="78" s="1"/>
  <c r="E1543" i="78"/>
  <c r="E1542" i="78"/>
  <c r="E1537" i="78"/>
  <c r="E1536" i="78" s="1"/>
  <c r="E1533" i="78"/>
  <c r="E1532" i="78" s="1"/>
  <c r="E1526" i="78" s="1"/>
  <c r="E1528" i="78"/>
  <c r="E1527" i="78"/>
  <c r="E1524" i="78"/>
  <c r="E1523" i="78" s="1"/>
  <c r="E1519" i="78"/>
  <c r="E1518" i="78"/>
  <c r="E1517" i="78"/>
  <c r="E1514" i="78"/>
  <c r="E1513" i="78"/>
  <c r="E1512" i="78"/>
  <c r="E1510" i="78"/>
  <c r="E1509" i="78" s="1"/>
  <c r="E1505" i="78"/>
  <c r="E1504" i="78" s="1"/>
  <c r="E1500" i="78"/>
  <c r="E1499" i="78"/>
  <c r="E1498" i="78" s="1"/>
  <c r="E1496" i="78"/>
  <c r="E1495" i="78" s="1"/>
  <c r="E1491" i="78"/>
  <c r="E1490" i="78"/>
  <c r="E1489" i="78" s="1"/>
  <c r="E1486" i="78"/>
  <c r="E1483" i="78"/>
  <c r="E1482" i="78" s="1"/>
  <c r="E1481" i="78" s="1"/>
  <c r="E1477" i="78"/>
  <c r="E1475" i="78"/>
  <c r="E1474" i="78"/>
  <c r="E1473" i="78" s="1"/>
  <c r="E1470" i="78"/>
  <c r="E1469" i="78"/>
  <c r="E1468" i="78"/>
  <c r="E1467" i="78" s="1"/>
  <c r="E1465" i="78"/>
  <c r="E1464" i="78" s="1"/>
  <c r="E1463" i="78" s="1"/>
  <c r="E1462" i="78" s="1"/>
  <c r="E1460" i="78"/>
  <c r="E1459" i="78"/>
  <c r="E1456" i="78"/>
  <c r="E1451" i="78"/>
  <c r="E1450" i="78"/>
  <c r="E1449" i="78"/>
  <c r="E1448" i="78" s="1"/>
  <c r="E1446" i="78"/>
  <c r="E1444" i="78"/>
  <c r="E1442" i="78" s="1"/>
  <c r="E1441" i="78" s="1"/>
  <c r="E1440" i="78" s="1"/>
  <c r="E1439" i="78" s="1"/>
  <c r="E1438" i="78" s="1"/>
  <c r="E1436" i="78"/>
  <c r="E1431" i="78" s="1"/>
  <c r="E1430" i="78" s="1"/>
  <c r="E1433" i="78"/>
  <c r="E1432" i="78"/>
  <c r="E1428" i="78"/>
  <c r="E1413" i="78"/>
  <c r="E1407" i="78"/>
  <c r="E1406" i="78"/>
  <c r="E1405" i="78" s="1"/>
  <c r="E1404" i="78" s="1"/>
  <c r="E1382" i="78" s="1"/>
  <c r="E1394" i="78"/>
  <c r="E1391" i="78"/>
  <c r="E1386" i="78"/>
  <c r="E1385" i="78"/>
  <c r="E1384" i="78" s="1"/>
  <c r="E1383" i="78"/>
  <c r="E1358" i="78"/>
  <c r="E1357" i="78" s="1"/>
  <c r="E1356" i="78"/>
  <c r="E1354" i="78"/>
  <c r="E1345" i="78"/>
  <c r="E1338" i="78" s="1"/>
  <c r="E1339" i="78"/>
  <c r="E1337" i="78"/>
  <c r="E1336" i="78" s="1"/>
  <c r="E1335" i="78" s="1"/>
  <c r="E1333" i="78"/>
  <c r="E1332" i="78"/>
  <c r="E1331" i="78"/>
  <c r="E1330" i="78" s="1"/>
  <c r="E1327" i="78"/>
  <c r="E1321" i="78"/>
  <c r="E1320" i="78"/>
  <c r="E1318" i="78"/>
  <c r="E1317" i="78"/>
  <c r="E1316" i="78"/>
  <c r="E1315" i="78"/>
  <c r="E1314" i="78"/>
  <c r="E1313" i="78"/>
  <c r="E1312" i="78"/>
  <c r="E1311" i="78"/>
  <c r="E1310" i="78"/>
  <c r="E1309" i="78"/>
  <c r="E1308" i="78"/>
  <c r="E1307" i="78"/>
  <c r="E1306" i="78"/>
  <c r="E1305" i="78"/>
  <c r="E1304" i="78"/>
  <c r="E1303" i="78"/>
  <c r="E1302" i="78"/>
  <c r="E1301" i="78"/>
  <c r="E1300" i="78"/>
  <c r="E1299" i="78"/>
  <c r="E1298" i="78"/>
  <c r="E1297" i="78"/>
  <c r="E1296" i="78"/>
  <c r="E1295" i="78"/>
  <c r="E1294" i="78"/>
  <c r="E1293" i="78"/>
  <c r="E1292" i="78"/>
  <c r="E1291" i="78"/>
  <c r="E1290" i="78"/>
  <c r="E1289" i="78"/>
  <c r="E1288" i="78"/>
  <c r="E1287" i="78"/>
  <c r="E1286" i="78"/>
  <c r="E1285" i="78"/>
  <c r="E1284" i="78"/>
  <c r="E1283" i="78"/>
  <c r="E1278" i="78"/>
  <c r="E1257" i="78"/>
  <c r="E1250" i="78"/>
  <c r="E1243" i="78"/>
  <c r="E1242" i="78" s="1"/>
  <c r="E1241" i="78" s="1"/>
  <c r="E1236" i="78"/>
  <c r="E1235" i="78" s="1"/>
  <c r="E1213" i="78"/>
  <c r="E1208" i="78" s="1"/>
  <c r="E1207" i="78" s="1"/>
  <c r="E1209" i="78"/>
  <c r="E1205" i="78"/>
  <c r="E1204" i="78" s="1"/>
  <c r="E1192" i="78"/>
  <c r="E1189" i="78"/>
  <c r="E1168" i="78"/>
  <c r="E1161" i="78"/>
  <c r="E1156" i="78"/>
  <c r="E1155" i="78"/>
  <c r="E1154" i="78" s="1"/>
  <c r="E1151" i="78"/>
  <c r="E1148" i="78"/>
  <c r="E1147" i="78" s="1"/>
  <c r="E1146" i="78"/>
  <c r="E1145" i="78" s="1"/>
  <c r="E1143" i="78"/>
  <c r="E1142" i="78" s="1"/>
  <c r="E1141" i="78"/>
  <c r="E1140" i="78" s="1"/>
  <c r="E1138" i="78"/>
  <c r="E1135" i="78"/>
  <c r="E1134" i="78"/>
  <c r="E1133" i="78" s="1"/>
  <c r="E1132" i="78" s="1"/>
  <c r="E1130" i="78"/>
  <c r="E1129" i="78"/>
  <c r="E1128" i="78"/>
  <c r="E1125" i="78"/>
  <c r="E1122" i="78"/>
  <c r="E1121" i="78"/>
  <c r="E1120" i="78"/>
  <c r="E1119" i="78" s="1"/>
  <c r="E1117" i="78"/>
  <c r="E1116" i="78"/>
  <c r="E1115" i="78"/>
  <c r="E1113" i="78"/>
  <c r="E1112" i="78" s="1"/>
  <c r="E1111" i="78"/>
  <c r="E1109" i="78"/>
  <c r="E1108" i="78"/>
  <c r="E1103" i="78" s="1"/>
  <c r="E1105" i="78"/>
  <c r="E1104" i="78"/>
  <c r="E1100" i="78"/>
  <c r="E1099" i="78" s="1"/>
  <c r="E1093" i="78" s="1"/>
  <c r="E1092" i="78" s="1"/>
  <c r="E1096" i="78"/>
  <c r="E1094" i="78"/>
  <c r="E1090" i="78"/>
  <c r="E1089" i="78" s="1"/>
  <c r="E1088" i="78" s="1"/>
  <c r="E1087" i="78" s="1"/>
  <c r="E1085" i="78"/>
  <c r="E1081" i="78"/>
  <c r="E1080" i="78" s="1"/>
  <c r="E1074" i="78"/>
  <c r="E1073" i="78" s="1"/>
  <c r="E1068" i="78"/>
  <c r="E1064" i="78"/>
  <c r="E1059" i="78"/>
  <c r="E1052" i="78" s="1"/>
  <c r="E1051" i="78" s="1"/>
  <c r="E1053" i="78"/>
  <c r="E1050" i="78"/>
  <c r="E1043" i="78"/>
  <c r="E1038" i="78"/>
  <c r="E1037" i="78"/>
  <c r="E1036" i="78"/>
  <c r="E1035" i="78" s="1"/>
  <c r="E1032" i="78"/>
  <c r="E1027" i="78"/>
  <c r="E1026" i="78"/>
  <c r="E1020" i="78"/>
  <c r="E1017" i="78"/>
  <c r="E998" i="78"/>
  <c r="E991" i="78"/>
  <c r="E990" i="78" s="1"/>
  <c r="E989" i="78"/>
  <c r="E988" i="78" s="1"/>
  <c r="E985" i="78"/>
  <c r="E981" i="78"/>
  <c r="E980" i="78"/>
  <c r="E956" i="78"/>
  <c r="E953" i="78"/>
  <c r="E941" i="78"/>
  <c r="E934" i="78"/>
  <c r="E933" i="78" s="1"/>
  <c r="E932" i="78" s="1"/>
  <c r="E931" i="78" s="1"/>
  <c r="E928" i="78"/>
  <c r="E927" i="78"/>
  <c r="E911" i="78"/>
  <c r="E908" i="78"/>
  <c r="E890" i="78"/>
  <c r="E883" i="78"/>
  <c r="E882" i="78"/>
  <c r="E881" i="78" s="1"/>
  <c r="E880" i="78" s="1"/>
  <c r="E878" i="78"/>
  <c r="E872" i="78"/>
  <c r="E865" i="78" s="1"/>
  <c r="E864" i="78" s="1"/>
  <c r="E866" i="78"/>
  <c r="E863" i="78"/>
  <c r="E861" i="78"/>
  <c r="E855" i="78"/>
  <c r="E849" i="78"/>
  <c r="E848" i="78"/>
  <c r="E847" i="78" s="1"/>
  <c r="E846" i="78" s="1"/>
  <c r="E844" i="78"/>
  <c r="E843" i="78"/>
  <c r="E840" i="78"/>
  <c r="E828" i="78"/>
  <c r="E820" i="78" s="1"/>
  <c r="E819" i="78" s="1"/>
  <c r="E821" i="78"/>
  <c r="E818" i="78"/>
  <c r="E815" i="78"/>
  <c r="E814" i="78" s="1"/>
  <c r="E811" i="78"/>
  <c r="E810" i="78"/>
  <c r="E809" i="78"/>
  <c r="E805" i="78"/>
  <c r="E804" i="78" s="1"/>
  <c r="E803" i="78" s="1"/>
  <c r="E801" i="78"/>
  <c r="E800" i="78" s="1"/>
  <c r="E799" i="78" s="1"/>
  <c r="E796" i="78"/>
  <c r="E795" i="78" s="1"/>
  <c r="E794" i="78" s="1"/>
  <c r="E792" i="78"/>
  <c r="E791" i="78"/>
  <c r="E790" i="78"/>
  <c r="E788" i="78"/>
  <c r="E787" i="78" s="1"/>
  <c r="E782" i="78"/>
  <c r="E780" i="78"/>
  <c r="E779" i="78"/>
  <c r="E778" i="78" s="1"/>
  <c r="E775" i="78"/>
  <c r="E770" i="78"/>
  <c r="E769" i="78" s="1"/>
  <c r="E766" i="78"/>
  <c r="E762" i="78"/>
  <c r="E761" i="78"/>
  <c r="E760" i="78"/>
  <c r="E758" i="78"/>
  <c r="E757" i="78"/>
  <c r="E756" i="78"/>
  <c r="E754" i="78"/>
  <c r="E753" i="78"/>
  <c r="E752" i="78"/>
  <c r="E750" i="78"/>
  <c r="E747" i="78"/>
  <c r="E746" i="78"/>
  <c r="E744" i="78"/>
  <c r="E743" i="78"/>
  <c r="E742" i="78"/>
  <c r="E741" i="78"/>
  <c r="E739" i="78"/>
  <c r="E738" i="78"/>
  <c r="E737" i="78"/>
  <c r="E734" i="78"/>
  <c r="E731" i="78"/>
  <c r="E725" i="78"/>
  <c r="E723" i="78"/>
  <c r="E721" i="78"/>
  <c r="E720" i="78"/>
  <c r="E719" i="78"/>
  <c r="E718" i="78"/>
  <c r="E717" i="78"/>
  <c r="E716" i="78" s="1"/>
  <c r="E713" i="78"/>
  <c r="E704" i="78"/>
  <c r="E698" i="78"/>
  <c r="E697" i="78"/>
  <c r="E696" i="78"/>
  <c r="E695" i="78" s="1"/>
  <c r="E691" i="78"/>
  <c r="E685" i="78"/>
  <c r="E684" i="78" s="1"/>
  <c r="E657" i="78"/>
  <c r="E654" i="78"/>
  <c r="E649" i="78"/>
  <c r="E647" i="78"/>
  <c r="E646" i="78"/>
  <c r="E645" i="78"/>
  <c r="E643" i="78"/>
  <c r="E642" i="78" s="1"/>
  <c r="E636" i="78"/>
  <c r="E630" i="78" s="1"/>
  <c r="E629" i="78" s="1"/>
  <c r="E628" i="78" s="1"/>
  <c r="E631" i="78"/>
  <c r="E623" i="78"/>
  <c r="E615" i="78"/>
  <c r="E614" i="78"/>
  <c r="E610" i="78"/>
  <c r="E609" i="78"/>
  <c r="E604" i="78"/>
  <c r="E603" i="78"/>
  <c r="E600" i="78"/>
  <c r="E599" i="78"/>
  <c r="E598" i="78"/>
  <c r="E597" i="78"/>
  <c r="E595" i="78"/>
  <c r="E594" i="78"/>
  <c r="E589" i="78"/>
  <c r="E588" i="78"/>
  <c r="E587" i="78"/>
  <c r="E573" i="78" s="1"/>
  <c r="E586" i="78"/>
  <c r="E570" i="78"/>
  <c r="E555" i="78"/>
  <c r="E548" i="78" s="1"/>
  <c r="E550" i="78"/>
  <c r="E541" i="78"/>
  <c r="E540" i="78"/>
  <c r="E539" i="78" s="1"/>
  <c r="E538" i="78" s="1"/>
  <c r="E536" i="78"/>
  <c r="E535" i="78"/>
  <c r="E532" i="78"/>
  <c r="E526" i="78"/>
  <c r="E523" i="78"/>
  <c r="E522" i="78"/>
  <c r="E521" i="78" s="1"/>
  <c r="E520" i="78"/>
  <c r="E518" i="78"/>
  <c r="E512" i="78"/>
  <c r="E511" i="78" s="1"/>
  <c r="E510" i="78"/>
  <c r="E509" i="78"/>
  <c r="E506" i="78"/>
  <c r="E503" i="78"/>
  <c r="E502" i="78"/>
  <c r="E471" i="78" s="1"/>
  <c r="E473" i="78"/>
  <c r="E472" i="78" s="1"/>
  <c r="E470" i="78"/>
  <c r="E464" i="78"/>
  <c r="E456" i="78"/>
  <c r="E455" i="78" s="1"/>
  <c r="E442" i="78" s="1"/>
  <c r="E441" i="78" s="1"/>
  <c r="E445" i="78"/>
  <c r="E444" i="78"/>
  <c r="E443" i="78" s="1"/>
  <c r="E439" i="78"/>
  <c r="E438" i="78" s="1"/>
  <c r="E437" i="78"/>
  <c r="E436" i="78"/>
  <c r="E432" i="78"/>
  <c r="E429" i="78"/>
  <c r="E415" i="78"/>
  <c r="E408" i="78"/>
  <c r="E407" i="78" s="1"/>
  <c r="E403" i="78"/>
  <c r="E402" i="78"/>
  <c r="E399" i="78"/>
  <c r="E380" i="78"/>
  <c r="E373" i="78"/>
  <c r="E372" i="78"/>
  <c r="E371" i="78" s="1"/>
  <c r="E370" i="78" s="1"/>
  <c r="E362" i="78"/>
  <c r="E360" i="78" s="1"/>
  <c r="E359" i="78"/>
  <c r="E358" i="78" s="1"/>
  <c r="E357" i="78" s="1"/>
  <c r="E354" i="78"/>
  <c r="E349" i="78"/>
  <c r="E348" i="78" s="1"/>
  <c r="E347" i="78" s="1"/>
  <c r="E346" i="78" s="1"/>
  <c r="E337" i="78" s="1"/>
  <c r="E344" i="78"/>
  <c r="E341" i="78"/>
  <c r="E340" i="78" s="1"/>
  <c r="E339" i="78" s="1"/>
  <c r="E338" i="78" s="1"/>
  <c r="E334" i="78"/>
  <c r="E328" i="78" s="1"/>
  <c r="E327" i="78" s="1"/>
  <c r="E326" i="78" s="1"/>
  <c r="E329" i="78"/>
  <c r="E324" i="78"/>
  <c r="E323" i="78"/>
  <c r="E322" i="78"/>
  <c r="E314" i="78"/>
  <c r="E305" i="78"/>
  <c r="E304" i="78" s="1"/>
  <c r="E301" i="78"/>
  <c r="E286" i="78"/>
  <c r="E279" i="78" s="1"/>
  <c r="E271" i="78" s="1"/>
  <c r="E270" i="78" s="1"/>
  <c r="E272" i="78"/>
  <c r="E267" i="78"/>
  <c r="E266" i="78" s="1"/>
  <c r="E265" i="78" s="1"/>
  <c r="E264" i="78" s="1"/>
  <c r="E262" i="78"/>
  <c r="E261" i="78"/>
  <c r="E260" i="78" s="1"/>
  <c r="E253" i="78"/>
  <c r="E245" i="78"/>
  <c r="E244" i="78"/>
  <c r="E243" i="78" s="1"/>
  <c r="E239" i="78"/>
  <c r="E234" i="78"/>
  <c r="E233" i="78"/>
  <c r="E229" i="78"/>
  <c r="E225" i="78"/>
  <c r="E224" i="78"/>
  <c r="E223" i="78"/>
  <c r="E222" i="78" s="1"/>
  <c r="E219" i="78"/>
  <c r="E213" i="78"/>
  <c r="E212" i="78" s="1"/>
  <c r="E211" i="78" s="1"/>
  <c r="E210" i="78" s="1"/>
  <c r="E209" i="78" s="1"/>
  <c r="E207" i="78"/>
  <c r="E198" i="78"/>
  <c r="E197" i="78"/>
  <c r="E188" i="78"/>
  <c r="E184" i="78"/>
  <c r="E183" i="78" s="1"/>
  <c r="E182" i="78"/>
  <c r="E181" i="78" s="1"/>
  <c r="E157" i="78"/>
  <c r="E156" i="78" s="1"/>
  <c r="E155" i="78"/>
  <c r="E154" i="78"/>
  <c r="E152" i="78"/>
  <c r="E146" i="78"/>
  <c r="E144" i="78"/>
  <c r="E138" i="78" s="1"/>
  <c r="E137" i="78" s="1"/>
  <c r="E136" i="78" s="1"/>
  <c r="E139" i="78"/>
  <c r="E132" i="78"/>
  <c r="E131" i="78" s="1"/>
  <c r="E127" i="78"/>
  <c r="E123" i="78"/>
  <c r="E122" i="78"/>
  <c r="E121" i="78" s="1"/>
  <c r="E120" i="78" s="1"/>
  <c r="E93" i="78"/>
  <c r="E92" i="78"/>
  <c r="E91" i="78" s="1"/>
  <c r="E89" i="78"/>
  <c r="E86" i="78"/>
  <c r="E85" i="78" s="1"/>
  <c r="E82" i="78"/>
  <c r="E71" i="78"/>
  <c r="E65" i="78"/>
  <c r="E64" i="78" s="1"/>
  <c r="E63" i="78" s="1"/>
  <c r="E62" i="78" s="1"/>
  <c r="E55" i="78"/>
  <c r="E48" i="78"/>
  <c r="E47" i="78" s="1"/>
  <c r="E46" i="78" s="1"/>
  <c r="E45" i="78"/>
  <c r="E43" i="78"/>
  <c r="E42" i="78" s="1"/>
  <c r="E39" i="78"/>
  <c r="E19" i="78"/>
  <c r="E12" i="78"/>
  <c r="E1535" i="78" l="1"/>
  <c r="E808" i="78"/>
  <c r="E807" i="78" s="1"/>
  <c r="E798" i="78"/>
  <c r="E406" i="78"/>
  <c r="E405" i="78" s="1"/>
  <c r="E369" i="78" s="1"/>
  <c r="E1660" i="78"/>
  <c r="E269" i="78"/>
  <c r="E817" i="78"/>
  <c r="E1655" i="78"/>
  <c r="E11" i="78"/>
  <c r="E10" i="78" s="1"/>
  <c r="E9" i="78" s="1"/>
  <c r="E8" i="78" s="1"/>
  <c r="E1651" i="78"/>
  <c r="E777" i="78"/>
  <c r="E1659" i="78"/>
  <c r="E1658" i="78" s="1"/>
  <c r="E508" i="78"/>
  <c r="E221" i="78"/>
  <c r="E641" i="78"/>
  <c r="E640" i="78" s="1"/>
  <c r="E639" i="78" s="1"/>
  <c r="E1079" i="78"/>
  <c r="E1078" i="78" s="1"/>
  <c r="E1077" i="78" s="1"/>
  <c r="E1160" i="78"/>
  <c r="E1159" i="78" s="1"/>
  <c r="E1158" i="78" s="1"/>
  <c r="E1153" i="78" s="1"/>
  <c r="E1503" i="78"/>
  <c r="E712" i="78"/>
  <c r="E711" i="78" s="1"/>
  <c r="E710" i="78" s="1"/>
  <c r="E1282" i="78"/>
  <c r="E1652" i="78"/>
  <c r="E1653" i="78"/>
  <c r="E1249" i="78"/>
  <c r="E1480" i="78" l="1"/>
  <c r="E1650" i="78"/>
  <c r="E1649" i="78" s="1"/>
  <c r="E1248" i="78"/>
  <c r="E1247" i="78" s="1"/>
  <c r="E1240" i="78" s="1"/>
  <c r="E1646" i="78"/>
  <c r="E330" i="77" l="1"/>
  <c r="E329" i="77"/>
  <c r="E328" i="77"/>
  <c r="E325" i="77"/>
  <c r="E324" i="77"/>
  <c r="E320" i="77"/>
  <c r="E319" i="77"/>
  <c r="E318" i="77" s="1"/>
  <c r="E313" i="77"/>
  <c r="E312" i="77"/>
  <c r="E307" i="77"/>
  <c r="E306" i="77" s="1"/>
  <c r="E303" i="77"/>
  <c r="E302" i="77" s="1"/>
  <c r="E298" i="77"/>
  <c r="E297" i="77"/>
  <c r="E294" i="77"/>
  <c r="E293" i="77" s="1"/>
  <c r="E286" i="77" s="1"/>
  <c r="E288" i="77"/>
  <c r="E287" i="77"/>
  <c r="E279" i="77"/>
  <c r="E278" i="77" s="1"/>
  <c r="E273" i="77" s="1"/>
  <c r="E275" i="77"/>
  <c r="E274" i="77"/>
  <c r="E270" i="77"/>
  <c r="E269" i="77"/>
  <c r="E266" i="77"/>
  <c r="E265" i="77"/>
  <c r="E262" i="77"/>
  <c r="E261" i="77"/>
  <c r="E257" i="77"/>
  <c r="E256" i="77" s="1"/>
  <c r="E253" i="77"/>
  <c r="E252" i="77"/>
  <c r="E246" i="77"/>
  <c r="E244" i="77" s="1"/>
  <c r="E238" i="77"/>
  <c r="E237" i="77"/>
  <c r="E231" i="77"/>
  <c r="E230" i="77"/>
  <c r="E227" i="77"/>
  <c r="E226" i="77"/>
  <c r="E223" i="77"/>
  <c r="E222" i="77"/>
  <c r="E218" i="77"/>
  <c r="E212" i="77"/>
  <c r="E205" i="77"/>
  <c r="E202" i="77"/>
  <c r="E198" i="77"/>
  <c r="E197" i="77"/>
  <c r="E194" i="77"/>
  <c r="E193" i="77" s="1"/>
  <c r="E190" i="77"/>
  <c r="E189" i="77" s="1"/>
  <c r="E186" i="77"/>
  <c r="E185" i="77" s="1"/>
  <c r="E182" i="77"/>
  <c r="E180" i="77"/>
  <c r="E179" i="77" s="1"/>
  <c r="E171" i="77" s="1"/>
  <c r="E173" i="77"/>
  <c r="E172" i="77"/>
  <c r="E169" i="77"/>
  <c r="E161" i="77"/>
  <c r="E160" i="77" s="1"/>
  <c r="E157" i="77"/>
  <c r="E156" i="77" s="1"/>
  <c r="E148" i="77"/>
  <c r="E147" i="77"/>
  <c r="E143" i="77"/>
  <c r="E142" i="77" s="1"/>
  <c r="E137" i="77"/>
  <c r="E136" i="77"/>
  <c r="E133" i="77"/>
  <c r="E132" i="77" s="1"/>
  <c r="E128" i="77"/>
  <c r="E127" i="77"/>
  <c r="E123" i="77"/>
  <c r="E122" i="77"/>
  <c r="E121" i="77" s="1"/>
  <c r="E118" i="77"/>
  <c r="E117" i="77" s="1"/>
  <c r="E116" i="77" s="1"/>
  <c r="E113" i="77"/>
  <c r="E112" i="77"/>
  <c r="E107" i="77"/>
  <c r="E106" i="77"/>
  <c r="E103" i="77"/>
  <c r="E102" i="77"/>
  <c r="E96" i="77" s="1"/>
  <c r="E98" i="77"/>
  <c r="E97" i="77"/>
  <c r="E93" i="77"/>
  <c r="E89" i="77"/>
  <c r="E84" i="77"/>
  <c r="E83" i="77" s="1"/>
  <c r="E82" i="77" s="1"/>
  <c r="E77" i="77"/>
  <c r="E76" i="77"/>
  <c r="E71" i="77"/>
  <c r="E66" i="77" s="1"/>
  <c r="E67" i="77"/>
  <c r="E63" i="77"/>
  <c r="E62" i="77" s="1"/>
  <c r="E59" i="77"/>
  <c r="E58" i="77" s="1"/>
  <c r="E56" i="77"/>
  <c r="E54" i="77" s="1"/>
  <c r="E49" i="77"/>
  <c r="E48" i="77"/>
  <c r="E44" i="77"/>
  <c r="E43" i="77"/>
  <c r="E42" i="77"/>
  <c r="E38" i="77"/>
  <c r="E37" i="77" s="1"/>
  <c r="E36" i="77" s="1"/>
  <c r="E33" i="77"/>
  <c r="E32" i="77"/>
  <c r="E29" i="77"/>
  <c r="E28" i="77"/>
  <c r="E24" i="77"/>
  <c r="E23" i="77"/>
  <c r="E20" i="77"/>
  <c r="E17" i="77"/>
  <c r="E16" i="77" s="1"/>
  <c r="E12" i="77"/>
  <c r="E11" i="77" s="1"/>
  <c r="E201" i="77" l="1"/>
  <c r="E47" i="77"/>
  <c r="E88" i="77"/>
  <c r="E87" i="77" s="1"/>
  <c r="E301" i="77"/>
  <c r="E10" i="77"/>
  <c r="E221" i="77"/>
  <c r="E260" i="77"/>
  <c r="E211" i="77"/>
  <c r="E184" i="77" s="1"/>
  <c r="E333" i="77" s="1"/>
  <c r="E126" i="77"/>
  <c r="E243" i="77"/>
  <c r="E335" i="77"/>
  <c r="E336" i="77"/>
  <c r="E14" i="54" l="1"/>
  <c r="E13" i="54"/>
  <c r="E12" i="54"/>
  <c r="E11" i="54"/>
  <c r="E7" i="54"/>
  <c r="E19" i="54"/>
  <c r="E21" i="54"/>
  <c r="E22" i="54"/>
  <c r="E23" i="54"/>
  <c r="E24" i="54"/>
  <c r="E25" i="54"/>
  <c r="E26" i="54"/>
  <c r="E30" i="54"/>
  <c r="E31" i="54"/>
  <c r="E33" i="54"/>
  <c r="G47" i="54"/>
  <c r="F30" i="37"/>
  <c r="F32" i="37"/>
  <c r="F49" i="37"/>
  <c r="E40" i="71" l="1"/>
  <c r="E44" i="71"/>
  <c r="G44" i="71"/>
  <c r="G45" i="71"/>
  <c r="E45" i="71"/>
  <c r="F44" i="71"/>
  <c r="F45" i="71"/>
  <c r="F50" i="37" l="1"/>
  <c r="F33" i="37"/>
  <c r="F23" i="37"/>
  <c r="G17" i="41" l="1"/>
  <c r="I1504" i="76"/>
  <c r="I1502" i="76" s="1"/>
  <c r="G1504" i="76"/>
  <c r="F1504" i="76" s="1"/>
  <c r="H1503" i="76"/>
  <c r="F1503" i="76"/>
  <c r="J1502" i="76"/>
  <c r="H1502" i="76"/>
  <c r="F1501" i="76"/>
  <c r="F1500" i="76"/>
  <c r="F1499" i="76"/>
  <c r="F1498" i="76"/>
  <c r="F1497" i="76"/>
  <c r="F1496" i="76"/>
  <c r="F1495" i="76"/>
  <c r="F1494" i="76"/>
  <c r="J1493" i="76"/>
  <c r="I1493" i="76"/>
  <c r="H1493" i="76"/>
  <c r="G1493" i="76"/>
  <c r="F1493" i="76"/>
  <c r="F1492" i="76"/>
  <c r="F1491" i="76"/>
  <c r="F1490" i="76"/>
  <c r="F1489" i="76"/>
  <c r="F1488" i="76"/>
  <c r="F1487" i="76"/>
  <c r="J1486" i="76"/>
  <c r="I1486" i="76"/>
  <c r="H1486" i="76"/>
  <c r="G1486" i="76"/>
  <c r="H1485" i="76"/>
  <c r="H1484" i="76" s="1"/>
  <c r="H1482" i="76" s="1"/>
  <c r="F1481" i="76"/>
  <c r="F1480" i="76"/>
  <c r="F1479" i="76" s="1"/>
  <c r="J1479" i="76"/>
  <c r="I1479" i="76"/>
  <c r="H1479" i="76"/>
  <c r="G1479" i="76"/>
  <c r="F1478" i="76"/>
  <c r="F1477" i="76"/>
  <c r="F1476" i="76"/>
  <c r="F1475" i="76"/>
  <c r="J1474" i="76"/>
  <c r="I1474" i="76"/>
  <c r="H1474" i="76"/>
  <c r="G1474" i="76"/>
  <c r="F1473" i="76"/>
  <c r="F1472" i="76"/>
  <c r="F1471" i="76"/>
  <c r="F1470" i="76"/>
  <c r="F1469" i="76"/>
  <c r="F1468" i="76"/>
  <c r="J1467" i="76"/>
  <c r="I1467" i="76"/>
  <c r="H1467" i="76"/>
  <c r="G1467" i="76"/>
  <c r="F1466" i="76"/>
  <c r="F1465" i="76"/>
  <c r="F1464" i="76" s="1"/>
  <c r="J1464" i="76"/>
  <c r="J1463" i="76" s="1"/>
  <c r="J1462" i="76" s="1"/>
  <c r="I1464" i="76"/>
  <c r="H1464" i="76"/>
  <c r="G1464" i="76"/>
  <c r="F1461" i="76"/>
  <c r="F1460" i="76"/>
  <c r="F1459" i="76" s="1"/>
  <c r="J1459" i="76"/>
  <c r="I1459" i="76"/>
  <c r="H1459" i="76"/>
  <c r="G1459" i="76"/>
  <c r="F1458" i="76"/>
  <c r="F1457" i="76"/>
  <c r="F1456" i="76"/>
  <c r="F1455" i="76"/>
  <c r="F1454" i="76"/>
  <c r="F1453" i="76"/>
  <c r="J1452" i="76"/>
  <c r="I1452" i="76"/>
  <c r="H1452" i="76"/>
  <c r="G1452" i="76"/>
  <c r="F1451" i="76"/>
  <c r="F1450" i="76"/>
  <c r="F1449" i="76"/>
  <c r="F1448" i="76"/>
  <c r="F1447" i="76"/>
  <c r="F1446" i="76"/>
  <c r="F1445" i="76"/>
  <c r="F1444" i="76"/>
  <c r="J1443" i="76"/>
  <c r="J1439" i="76" s="1"/>
  <c r="I1443" i="76"/>
  <c r="H1443" i="76"/>
  <c r="G1443" i="76"/>
  <c r="F1442" i="76"/>
  <c r="F1440" i="76" s="1"/>
  <c r="F1441" i="76"/>
  <c r="J1440" i="76"/>
  <c r="I1440" i="76"/>
  <c r="I1439" i="76" s="1"/>
  <c r="I1438" i="76" s="1"/>
  <c r="H1440" i="76"/>
  <c r="H1439" i="76" s="1"/>
  <c r="H1438" i="76" s="1"/>
  <c r="G1440" i="76"/>
  <c r="G1439" i="76" s="1"/>
  <c r="G1438" i="76"/>
  <c r="F1437" i="76"/>
  <c r="F1436" i="76"/>
  <c r="J1435" i="76"/>
  <c r="I1435" i="76"/>
  <c r="H1435" i="76"/>
  <c r="G1435" i="76"/>
  <c r="F1434" i="76"/>
  <c r="F1433" i="76"/>
  <c r="F1432" i="76"/>
  <c r="J1431" i="76"/>
  <c r="I1431" i="76"/>
  <c r="H1431" i="76"/>
  <c r="G1431" i="76"/>
  <c r="F1430" i="76"/>
  <c r="F1429" i="76"/>
  <c r="F1428" i="76"/>
  <c r="F1427" i="76" s="1"/>
  <c r="J1427" i="76"/>
  <c r="I1427" i="76"/>
  <c r="H1427" i="76"/>
  <c r="G1427" i="76"/>
  <c r="F1426" i="76"/>
  <c r="F1425" i="76"/>
  <c r="J1424" i="76"/>
  <c r="J1423" i="76" s="1"/>
  <c r="J1422" i="76" s="1"/>
  <c r="I1424" i="76"/>
  <c r="H1424" i="76"/>
  <c r="G1424" i="76"/>
  <c r="G1423" i="76"/>
  <c r="G1422" i="76" s="1"/>
  <c r="F1421" i="76"/>
  <c r="F1420" i="76"/>
  <c r="J1419" i="76"/>
  <c r="I1419" i="76"/>
  <c r="H1419" i="76"/>
  <c r="G1419" i="76"/>
  <c r="F1418" i="76"/>
  <c r="F1417" i="76"/>
  <c r="F1416" i="76"/>
  <c r="F1415" i="76"/>
  <c r="F1414" i="76"/>
  <c r="F1413" i="76"/>
  <c r="F1412" i="76"/>
  <c r="F1411" i="76"/>
  <c r="F1410" i="76"/>
  <c r="F1409" i="76"/>
  <c r="F1408" i="76"/>
  <c r="F1407" i="76"/>
  <c r="J1406" i="76"/>
  <c r="I1406" i="76"/>
  <c r="H1406" i="76"/>
  <c r="G1406" i="76"/>
  <c r="F1405" i="76"/>
  <c r="F1404" i="76"/>
  <c r="F1403" i="76"/>
  <c r="F1402" i="76"/>
  <c r="F1401" i="76"/>
  <c r="F1400" i="76"/>
  <c r="J1399" i="76"/>
  <c r="I1399" i="76"/>
  <c r="H1399" i="76"/>
  <c r="G1399" i="76"/>
  <c r="G1395" i="76" s="1"/>
  <c r="G1394" i="76" s="1"/>
  <c r="F1398" i="76"/>
  <c r="F1396" i="76" s="1"/>
  <c r="F1397" i="76"/>
  <c r="J1396" i="76"/>
  <c r="I1396" i="76"/>
  <c r="I1395" i="76" s="1"/>
  <c r="I1394" i="76" s="1"/>
  <c r="H1396" i="76"/>
  <c r="G1396" i="76"/>
  <c r="F1393" i="76"/>
  <c r="F1392" i="76"/>
  <c r="J1391" i="76"/>
  <c r="I1391" i="76"/>
  <c r="H1391" i="76"/>
  <c r="G1391" i="76"/>
  <c r="F1391" i="76"/>
  <c r="F1390" i="76"/>
  <c r="F1389" i="76"/>
  <c r="F1388" i="76"/>
  <c r="F1387" i="76"/>
  <c r="F1386" i="76"/>
  <c r="F1385" i="76"/>
  <c r="F1384" i="76"/>
  <c r="F1383" i="76"/>
  <c r="F1382" i="76"/>
  <c r="F1381" i="76"/>
  <c r="F1380" i="76"/>
  <c r="F1379" i="76"/>
  <c r="J1378" i="76"/>
  <c r="I1378" i="76"/>
  <c r="H1378" i="76"/>
  <c r="G1378" i="76"/>
  <c r="F1377" i="76"/>
  <c r="F1376" i="76"/>
  <c r="F1375" i="76"/>
  <c r="F1374" i="76"/>
  <c r="F1373" i="76"/>
  <c r="F1372" i="76"/>
  <c r="J1371" i="76"/>
  <c r="I1371" i="76"/>
  <c r="H1371" i="76"/>
  <c r="G1371" i="76"/>
  <c r="F1370" i="76"/>
  <c r="F1369" i="76"/>
  <c r="J1368" i="76"/>
  <c r="J1367" i="76" s="1"/>
  <c r="J1366" i="76" s="1"/>
  <c r="I1368" i="76"/>
  <c r="H1368" i="76"/>
  <c r="G1368" i="76"/>
  <c r="F1368" i="76"/>
  <c r="F1365" i="76"/>
  <c r="F1364" i="76"/>
  <c r="J1363" i="76"/>
  <c r="I1363" i="76"/>
  <c r="H1363" i="76"/>
  <c r="G1363" i="76"/>
  <c r="F1363" i="76"/>
  <c r="F1362" i="76"/>
  <c r="F1361" i="76"/>
  <c r="F1360" i="76"/>
  <c r="F1359" i="76"/>
  <c r="F1358" i="76"/>
  <c r="F1357" i="76"/>
  <c r="F1356" i="76"/>
  <c r="F1355" i="76"/>
  <c r="F1354" i="76"/>
  <c r="F1353" i="76"/>
  <c r="F1352" i="76"/>
  <c r="F1351" i="76"/>
  <c r="J1350" i="76"/>
  <c r="I1350" i="76"/>
  <c r="H1350" i="76"/>
  <c r="G1350" i="76"/>
  <c r="F1350" i="76"/>
  <c r="F1349" i="76"/>
  <c r="F1348" i="76"/>
  <c r="F1347" i="76"/>
  <c r="F1346" i="76"/>
  <c r="F1343" i="76" s="1"/>
  <c r="F1345" i="76"/>
  <c r="F1344" i="76"/>
  <c r="J1343" i="76"/>
  <c r="I1343" i="76"/>
  <c r="I1339" i="76" s="1"/>
  <c r="I1338" i="76" s="1"/>
  <c r="H1343" i="76"/>
  <c r="G1343" i="76"/>
  <c r="F1342" i="76"/>
  <c r="F1341" i="76"/>
  <c r="J1340" i="76"/>
  <c r="I1340" i="76"/>
  <c r="H1340" i="76"/>
  <c r="H1339" i="76" s="1"/>
  <c r="H1338" i="76" s="1"/>
  <c r="G1340" i="76"/>
  <c r="G1339" i="76" s="1"/>
  <c r="G1338" i="76" s="1"/>
  <c r="F1337" i="76"/>
  <c r="F1336" i="76"/>
  <c r="J1335" i="76"/>
  <c r="I1335" i="76"/>
  <c r="H1335" i="76"/>
  <c r="G1335" i="76"/>
  <c r="F1334" i="76"/>
  <c r="F1333" i="76"/>
  <c r="F1332" i="76"/>
  <c r="F1331" i="76"/>
  <c r="F1330" i="76"/>
  <c r="F1329" i="76"/>
  <c r="F1328" i="76"/>
  <c r="F1327" i="76"/>
  <c r="J1326" i="76"/>
  <c r="I1326" i="76"/>
  <c r="H1326" i="76"/>
  <c r="G1326" i="76"/>
  <c r="F1325" i="76"/>
  <c r="F1324" i="76"/>
  <c r="F1323" i="76"/>
  <c r="F1322" i="76"/>
  <c r="F1321" i="76"/>
  <c r="F1320" i="76"/>
  <c r="F1319" i="76"/>
  <c r="F1318" i="76"/>
  <c r="J1317" i="76"/>
  <c r="I1317" i="76"/>
  <c r="I1313" i="76" s="1"/>
  <c r="I1312" i="76" s="1"/>
  <c r="H1317" i="76"/>
  <c r="G1317" i="76"/>
  <c r="F1316" i="76"/>
  <c r="F1315" i="76"/>
  <c r="J1314" i="76"/>
  <c r="I1314" i="76"/>
  <c r="H1314" i="76"/>
  <c r="G1314" i="76"/>
  <c r="F1311" i="76"/>
  <c r="F1310" i="76"/>
  <c r="J1309" i="76"/>
  <c r="I1309" i="76"/>
  <c r="H1309" i="76"/>
  <c r="G1309" i="76"/>
  <c r="F1308" i="76"/>
  <c r="F1307" i="76"/>
  <c r="F1306" i="76"/>
  <c r="F1305" i="76"/>
  <c r="F1304" i="76"/>
  <c r="F1303" i="76"/>
  <c r="F1302" i="76"/>
  <c r="F1301" i="76"/>
  <c r="J1300" i="76"/>
  <c r="I1300" i="76"/>
  <c r="H1300" i="76"/>
  <c r="G1300" i="76"/>
  <c r="F1299" i="76"/>
  <c r="F1298" i="76"/>
  <c r="F1297" i="76"/>
  <c r="F1296" i="76"/>
  <c r="F1295" i="76"/>
  <c r="F1294" i="76"/>
  <c r="F1293" i="76"/>
  <c r="F1292" i="76"/>
  <c r="F1291" i="76" s="1"/>
  <c r="J1291" i="76"/>
  <c r="I1291" i="76"/>
  <c r="H1291" i="76"/>
  <c r="G1291" i="76"/>
  <c r="F1290" i="76"/>
  <c r="F1289" i="76"/>
  <c r="J1288" i="76"/>
  <c r="J1287" i="76" s="1"/>
  <c r="J1286" i="76" s="1"/>
  <c r="I1288" i="76"/>
  <c r="I1287" i="76" s="1"/>
  <c r="I1286" i="76" s="1"/>
  <c r="H1288" i="76"/>
  <c r="H1287" i="76" s="1"/>
  <c r="H1286" i="76" s="1"/>
  <c r="G1288" i="76"/>
  <c r="F1288" i="76"/>
  <c r="F1283" i="76"/>
  <c r="F1282" i="76"/>
  <c r="J1281" i="76"/>
  <c r="I1281" i="76"/>
  <c r="H1281" i="76"/>
  <c r="G1281" i="76"/>
  <c r="F1280" i="76"/>
  <c r="F1279" i="76"/>
  <c r="F1278" i="76"/>
  <c r="J1277" i="76"/>
  <c r="I1277" i="76"/>
  <c r="I1274" i="76" s="1"/>
  <c r="I1273" i="76" s="1"/>
  <c r="I1271" i="76" s="1"/>
  <c r="H1277" i="76"/>
  <c r="G1277" i="76"/>
  <c r="F1276" i="76"/>
  <c r="F1275" i="76" s="1"/>
  <c r="J1275" i="76"/>
  <c r="I1275" i="76"/>
  <c r="H1275" i="76"/>
  <c r="G1275" i="76"/>
  <c r="F1270" i="76"/>
  <c r="F1269" i="76"/>
  <c r="J1268" i="76"/>
  <c r="I1268" i="76"/>
  <c r="H1268" i="76"/>
  <c r="G1268" i="76"/>
  <c r="F1268" i="76"/>
  <c r="F1267" i="76"/>
  <c r="F1266" i="76"/>
  <c r="F1265" i="76"/>
  <c r="F1264" i="76"/>
  <c r="F1263" i="76"/>
  <c r="F1262" i="76"/>
  <c r="F1261" i="76"/>
  <c r="F1260" i="76"/>
  <c r="F1259" i="76" s="1"/>
  <c r="J1259" i="76"/>
  <c r="I1259" i="76"/>
  <c r="H1259" i="76"/>
  <c r="G1259" i="76"/>
  <c r="F1258" i="76"/>
  <c r="F1257" i="76"/>
  <c r="F1256" i="76"/>
  <c r="F1255" i="76"/>
  <c r="F1254" i="76"/>
  <c r="F1253" i="76"/>
  <c r="F1252" i="76"/>
  <c r="F1251" i="76"/>
  <c r="J1250" i="76"/>
  <c r="I1250" i="76"/>
  <c r="H1250" i="76"/>
  <c r="G1250" i="76"/>
  <c r="F1249" i="76"/>
  <c r="F1248" i="76" s="1"/>
  <c r="J1248" i="76"/>
  <c r="I1248" i="76"/>
  <c r="H1248" i="76"/>
  <c r="G1248" i="76"/>
  <c r="I1247" i="76"/>
  <c r="F1245" i="76"/>
  <c r="F1244" i="76"/>
  <c r="J1243" i="76"/>
  <c r="I1243" i="76"/>
  <c r="H1243" i="76"/>
  <c r="G1243" i="76"/>
  <c r="F1242" i="76"/>
  <c r="F1241" i="76"/>
  <c r="J1240" i="76"/>
  <c r="J1228" i="76" s="1"/>
  <c r="J1227" i="76" s="1"/>
  <c r="I1240" i="76"/>
  <c r="H1240" i="76"/>
  <c r="G1240" i="76"/>
  <c r="F1240" i="76"/>
  <c r="F1239" i="76"/>
  <c r="F1238" i="76"/>
  <c r="F1237" i="76"/>
  <c r="F1236" i="76"/>
  <c r="F1235" i="76"/>
  <c r="F1234" i="76"/>
  <c r="F1233" i="76"/>
  <c r="F1232" i="76"/>
  <c r="F1231" i="76" s="1"/>
  <c r="J1231" i="76"/>
  <c r="I1231" i="76"/>
  <c r="H1231" i="76"/>
  <c r="G1231" i="76"/>
  <c r="G1228" i="76" s="1"/>
  <c r="G1227" i="76" s="1"/>
  <c r="F1230" i="76"/>
  <c r="F1229" i="76" s="1"/>
  <c r="J1229" i="76"/>
  <c r="I1229" i="76"/>
  <c r="I1228" i="76" s="1"/>
  <c r="H1229" i="76"/>
  <c r="H1228" i="76" s="1"/>
  <c r="H1227" i="76" s="1"/>
  <c r="G1229" i="76"/>
  <c r="I1227" i="76"/>
  <c r="F1226" i="76"/>
  <c r="F1225" i="76"/>
  <c r="J1224" i="76"/>
  <c r="I1224" i="76"/>
  <c r="H1224" i="76"/>
  <c r="G1224" i="76"/>
  <c r="F1223" i="76"/>
  <c r="F1222" i="76"/>
  <c r="F1221" i="76"/>
  <c r="F1220" i="76"/>
  <c r="J1219" i="76"/>
  <c r="I1219" i="76"/>
  <c r="H1219" i="76"/>
  <c r="G1219" i="76"/>
  <c r="F1218" i="76"/>
  <c r="F1217" i="76"/>
  <c r="F1216" i="76"/>
  <c r="F1215" i="76"/>
  <c r="F1214" i="76"/>
  <c r="F1213" i="76"/>
  <c r="F1212" i="76"/>
  <c r="F1211" i="76"/>
  <c r="J1210" i="76"/>
  <c r="J1209" i="76" s="1"/>
  <c r="J1208" i="76" s="1"/>
  <c r="I1210" i="76"/>
  <c r="I1209" i="76" s="1"/>
  <c r="I1208" i="76" s="1"/>
  <c r="H1210" i="76"/>
  <c r="G1210" i="76"/>
  <c r="G1209" i="76"/>
  <c r="F1207" i="76"/>
  <c r="F1206" i="76"/>
  <c r="J1205" i="76"/>
  <c r="I1205" i="76"/>
  <c r="H1205" i="76"/>
  <c r="G1205" i="76"/>
  <c r="F1205" i="76"/>
  <c r="F1204" i="76"/>
  <c r="F1201" i="76" s="1"/>
  <c r="F1203" i="76"/>
  <c r="F1202" i="76"/>
  <c r="J1201" i="76"/>
  <c r="J1196" i="76" s="1"/>
  <c r="J1195" i="76" s="1"/>
  <c r="I1201" i="76"/>
  <c r="H1201" i="76"/>
  <c r="G1201" i="76"/>
  <c r="F1200" i="76"/>
  <c r="F1199" i="76"/>
  <c r="F1198" i="76"/>
  <c r="J1197" i="76"/>
  <c r="I1197" i="76"/>
  <c r="H1197" i="76"/>
  <c r="H1196" i="76" s="1"/>
  <c r="H1195" i="76" s="1"/>
  <c r="G1197" i="76"/>
  <c r="G1196" i="76"/>
  <c r="G1195" i="76"/>
  <c r="F1192" i="76"/>
  <c r="F1191" i="76"/>
  <c r="J1190" i="76"/>
  <c r="I1190" i="76"/>
  <c r="H1190" i="76"/>
  <c r="G1190" i="76"/>
  <c r="F1189" i="76"/>
  <c r="F1188" i="76"/>
  <c r="F1187" i="76"/>
  <c r="F1186" i="76"/>
  <c r="F1185" i="76"/>
  <c r="F1184" i="76"/>
  <c r="F1183" i="76"/>
  <c r="F1182" i="76"/>
  <c r="F1181" i="76"/>
  <c r="F1180" i="76"/>
  <c r="F1179" i="76"/>
  <c r="F1178" i="76"/>
  <c r="F1177" i="76"/>
  <c r="F1176" i="76"/>
  <c r="F1175" i="76"/>
  <c r="F1174" i="76"/>
  <c r="F1173" i="76"/>
  <c r="F1172" i="76"/>
  <c r="F1171" i="76"/>
  <c r="F1170" i="76"/>
  <c r="F1169" i="76"/>
  <c r="F1168" i="76"/>
  <c r="F1167" i="76"/>
  <c r="F1166" i="76"/>
  <c r="F1165" i="76"/>
  <c r="F1164" i="76"/>
  <c r="F1163" i="76" s="1"/>
  <c r="J1163" i="76"/>
  <c r="I1163" i="76"/>
  <c r="H1163" i="76"/>
  <c r="G1163" i="76"/>
  <c r="G1148" i="76" s="1"/>
  <c r="G1147" i="76" s="1"/>
  <c r="F1162" i="76"/>
  <c r="F1161" i="76"/>
  <c r="F1160" i="76"/>
  <c r="F1159" i="76"/>
  <c r="F1158" i="76"/>
  <c r="F1157" i="76"/>
  <c r="F1156" i="76"/>
  <c r="F1155" i="76"/>
  <c r="F1154" i="76"/>
  <c r="F1153" i="76"/>
  <c r="J1152" i="76"/>
  <c r="J1148" i="76" s="1"/>
  <c r="J1147" i="76" s="1"/>
  <c r="I1152" i="76"/>
  <c r="H1152" i="76"/>
  <c r="G1152" i="76"/>
  <c r="F1151" i="76"/>
  <c r="F1149" i="76" s="1"/>
  <c r="F1150" i="76"/>
  <c r="J1149" i="76"/>
  <c r="I1149" i="76"/>
  <c r="H1149" i="76"/>
  <c r="H1148" i="76" s="1"/>
  <c r="H1147" i="76" s="1"/>
  <c r="G1149" i="76"/>
  <c r="F1146" i="76"/>
  <c r="F1145" i="76"/>
  <c r="F1144" i="76" s="1"/>
  <c r="J1144" i="76"/>
  <c r="I1144" i="76"/>
  <c r="H1144" i="76"/>
  <c r="G1144" i="76"/>
  <c r="F1143" i="76"/>
  <c r="F1142" i="76"/>
  <c r="F1141" i="76"/>
  <c r="F1140" i="76"/>
  <c r="F1139" i="76"/>
  <c r="F1138" i="76"/>
  <c r="F1137" i="76"/>
  <c r="F1136" i="76"/>
  <c r="F1135" i="76"/>
  <c r="F1134" i="76"/>
  <c r="F1133" i="76"/>
  <c r="F1132" i="76"/>
  <c r="F1131" i="76"/>
  <c r="F1130" i="76"/>
  <c r="F1129" i="76"/>
  <c r="F1128" i="76"/>
  <c r="F1127" i="76"/>
  <c r="F1126" i="76"/>
  <c r="F1125" i="76"/>
  <c r="F1124" i="76"/>
  <c r="F1123" i="76"/>
  <c r="F1122" i="76"/>
  <c r="F1121" i="76"/>
  <c r="F1120" i="76"/>
  <c r="F1119" i="76"/>
  <c r="F1118" i="76"/>
  <c r="J1117" i="76"/>
  <c r="I1117" i="76"/>
  <c r="H1117" i="76"/>
  <c r="G1117" i="76"/>
  <c r="F1116" i="76"/>
  <c r="F1115" i="76"/>
  <c r="F1114" i="76"/>
  <c r="F1113" i="76"/>
  <c r="F1112" i="76"/>
  <c r="F1111" i="76"/>
  <c r="F1110" i="76"/>
  <c r="F1109" i="76"/>
  <c r="F1108" i="76"/>
  <c r="F1107" i="76"/>
  <c r="J1106" i="76"/>
  <c r="I1106" i="76"/>
  <c r="H1106" i="76"/>
  <c r="G1106" i="76"/>
  <c r="F1105" i="76"/>
  <c r="F1104" i="76"/>
  <c r="J1103" i="76"/>
  <c r="J1102" i="76" s="1"/>
  <c r="J1101" i="76" s="1"/>
  <c r="I1103" i="76"/>
  <c r="H1103" i="76"/>
  <c r="G1103" i="76"/>
  <c r="F1103" i="76"/>
  <c r="F1100" i="76"/>
  <c r="F1099" i="76"/>
  <c r="F1098" i="76"/>
  <c r="F1097" i="76"/>
  <c r="F1096" i="76" s="1"/>
  <c r="J1096" i="76"/>
  <c r="I1096" i="76"/>
  <c r="H1096" i="76"/>
  <c r="G1096" i="76"/>
  <c r="F1095" i="76"/>
  <c r="F1094" i="76"/>
  <c r="F1093" i="76"/>
  <c r="F1092" i="76"/>
  <c r="F1091" i="76"/>
  <c r="F1090" i="76"/>
  <c r="F1089" i="76"/>
  <c r="F1088" i="76"/>
  <c r="J1087" i="76"/>
  <c r="I1087" i="76"/>
  <c r="H1087" i="76"/>
  <c r="H1086" i="76" s="1"/>
  <c r="G1087" i="76"/>
  <c r="I1086" i="76"/>
  <c r="F1085" i="76"/>
  <c r="F1084" i="76"/>
  <c r="F1083" i="76" s="1"/>
  <c r="J1083" i="76"/>
  <c r="I1083" i="76"/>
  <c r="H1083" i="76"/>
  <c r="H1078" i="76" s="1"/>
  <c r="G1083" i="76"/>
  <c r="F1082" i="76"/>
  <c r="F1081" i="76"/>
  <c r="F1080" i="76"/>
  <c r="F1079" i="76" s="1"/>
  <c r="J1079" i="76"/>
  <c r="J1078" i="76" s="1"/>
  <c r="I1079" i="76"/>
  <c r="H1079" i="76"/>
  <c r="G1079" i="76"/>
  <c r="G1078" i="76" s="1"/>
  <c r="I1078" i="76"/>
  <c r="F1075" i="76"/>
  <c r="F1074" i="76"/>
  <c r="F1073" i="76"/>
  <c r="J1072" i="76"/>
  <c r="I1072" i="76"/>
  <c r="H1072" i="76"/>
  <c r="G1072" i="76"/>
  <c r="F1071" i="76"/>
  <c r="F1070" i="76"/>
  <c r="F1069" i="76"/>
  <c r="J1068" i="76"/>
  <c r="J1064" i="76" s="1"/>
  <c r="J1063" i="76" s="1"/>
  <c r="J1061" i="76" s="1"/>
  <c r="I1068" i="76"/>
  <c r="H1068" i="76"/>
  <c r="G1068" i="76"/>
  <c r="F1067" i="76"/>
  <c r="F1066" i="76"/>
  <c r="J1065" i="76"/>
  <c r="I1065" i="76"/>
  <c r="H1065" i="76"/>
  <c r="G1065" i="76"/>
  <c r="G1064" i="76" s="1"/>
  <c r="F1060" i="76"/>
  <c r="F1059" i="76"/>
  <c r="J1058" i="76"/>
  <c r="I1058" i="76"/>
  <c r="H1058" i="76"/>
  <c r="G1058" i="76"/>
  <c r="F1057" i="76"/>
  <c r="F1056" i="76"/>
  <c r="J1055" i="76"/>
  <c r="I1055" i="76"/>
  <c r="I1051" i="76" s="1"/>
  <c r="I1050" i="76" s="1"/>
  <c r="H1055" i="76"/>
  <c r="G1055" i="76"/>
  <c r="F1054" i="76"/>
  <c r="F1053" i="76"/>
  <c r="F1052" i="76" s="1"/>
  <c r="J1052" i="76"/>
  <c r="I1052" i="76"/>
  <c r="H1052" i="76"/>
  <c r="G1052" i="76"/>
  <c r="F1049" i="76"/>
  <c r="F1048" i="76" s="1"/>
  <c r="J1048" i="76"/>
  <c r="I1048" i="76"/>
  <c r="H1048" i="76"/>
  <c r="G1048" i="76"/>
  <c r="F1047" i="76"/>
  <c r="F1046" i="76"/>
  <c r="F1045" i="76" s="1"/>
  <c r="J1045" i="76"/>
  <c r="I1045" i="76"/>
  <c r="I1041" i="76" s="1"/>
  <c r="I1040" i="76" s="1"/>
  <c r="H1045" i="76"/>
  <c r="G1045" i="76"/>
  <c r="F1044" i="76"/>
  <c r="F1042" i="76" s="1"/>
  <c r="F1043" i="76"/>
  <c r="J1042" i="76"/>
  <c r="I1042" i="76"/>
  <c r="H1042" i="76"/>
  <c r="H1041" i="76" s="1"/>
  <c r="H1040" i="76" s="1"/>
  <c r="G1042" i="76"/>
  <c r="F1037" i="76"/>
  <c r="F1036" i="76"/>
  <c r="F1035" i="76"/>
  <c r="F1034" i="76"/>
  <c r="F1033" i="76"/>
  <c r="F1032" i="76"/>
  <c r="J1031" i="76"/>
  <c r="I1031" i="76"/>
  <c r="H1031" i="76"/>
  <c r="G1031" i="76"/>
  <c r="F1031" i="76"/>
  <c r="F1030" i="76"/>
  <c r="F1029" i="76"/>
  <c r="J1028" i="76"/>
  <c r="J1024" i="76" s="1"/>
  <c r="I1028" i="76"/>
  <c r="I1024" i="76" s="1"/>
  <c r="I1023" i="76" s="1"/>
  <c r="H1028" i="76"/>
  <c r="G1028" i="76"/>
  <c r="F1028" i="76"/>
  <c r="F1027" i="76"/>
  <c r="F1025" i="76" s="1"/>
  <c r="F1024" i="76" s="1"/>
  <c r="F1023" i="76" s="1"/>
  <c r="F1026" i="76"/>
  <c r="J1025" i="76"/>
  <c r="I1025" i="76"/>
  <c r="H1025" i="76"/>
  <c r="H1024" i="76" s="1"/>
  <c r="H1023" i="76" s="1"/>
  <c r="G1025" i="76"/>
  <c r="F1022" i="76"/>
  <c r="F1021" i="76"/>
  <c r="F1020" i="76"/>
  <c r="F1019" i="76"/>
  <c r="F1018" i="76"/>
  <c r="F1017" i="76"/>
  <c r="J1016" i="76"/>
  <c r="I1016" i="76"/>
  <c r="H1016" i="76"/>
  <c r="G1016" i="76"/>
  <c r="F1015" i="76"/>
  <c r="F1014" i="76"/>
  <c r="J1013" i="76"/>
  <c r="J1009" i="76" s="1"/>
  <c r="J1008" i="76" s="1"/>
  <c r="I1013" i="76"/>
  <c r="H1013" i="76"/>
  <c r="G1013" i="76"/>
  <c r="F1013" i="76"/>
  <c r="F1012" i="76"/>
  <c r="F1011" i="76"/>
  <c r="J1010" i="76"/>
  <c r="I1010" i="76"/>
  <c r="H1010" i="76"/>
  <c r="G1010" i="76"/>
  <c r="I1009" i="76"/>
  <c r="I1008" i="76" s="1"/>
  <c r="F1007" i="76"/>
  <c r="F1006" i="76"/>
  <c r="F1005" i="76"/>
  <c r="F1004" i="76"/>
  <c r="F1003" i="76"/>
  <c r="F1002" i="76"/>
  <c r="J1001" i="76"/>
  <c r="I1001" i="76"/>
  <c r="H1001" i="76"/>
  <c r="G1001" i="76"/>
  <c r="F1000" i="76"/>
  <c r="F999" i="76"/>
  <c r="F998" i="76" s="1"/>
  <c r="J998" i="76"/>
  <c r="I998" i="76"/>
  <c r="H998" i="76"/>
  <c r="G998" i="76"/>
  <c r="G994" i="76" s="1"/>
  <c r="G993" i="76" s="1"/>
  <c r="F997" i="76"/>
  <c r="F995" i="76" s="1"/>
  <c r="F996" i="76"/>
  <c r="J995" i="76"/>
  <c r="J994" i="76" s="1"/>
  <c r="I995" i="76"/>
  <c r="I994" i="76" s="1"/>
  <c r="I993" i="76" s="1"/>
  <c r="H995" i="76"/>
  <c r="G995" i="76"/>
  <c r="J993" i="76"/>
  <c r="F992" i="76"/>
  <c r="F991" i="76"/>
  <c r="F990" i="76"/>
  <c r="F989" i="76"/>
  <c r="F988" i="76"/>
  <c r="F987" i="76"/>
  <c r="F986" i="76" s="1"/>
  <c r="J986" i="76"/>
  <c r="I986" i="76"/>
  <c r="H986" i="76"/>
  <c r="G986" i="76"/>
  <c r="F985" i="76"/>
  <c r="F983" i="76" s="1"/>
  <c r="F984" i="76"/>
  <c r="J983" i="76"/>
  <c r="I983" i="76"/>
  <c r="H983" i="76"/>
  <c r="H979" i="76" s="1"/>
  <c r="H978" i="76" s="1"/>
  <c r="G983" i="76"/>
  <c r="F982" i="76"/>
  <c r="F981" i="76"/>
  <c r="F980" i="76" s="1"/>
  <c r="F979" i="76" s="1"/>
  <c r="F978" i="76" s="1"/>
  <c r="J980" i="76"/>
  <c r="I980" i="76"/>
  <c r="H980" i="76"/>
  <c r="G980" i="76"/>
  <c r="G979" i="76" s="1"/>
  <c r="G978" i="76" s="1"/>
  <c r="J979" i="76"/>
  <c r="J978" i="76" s="1"/>
  <c r="F977" i="76"/>
  <c r="F976" i="76"/>
  <c r="F975" i="76"/>
  <c r="F974" i="76"/>
  <c r="F973" i="76"/>
  <c r="F972" i="76"/>
  <c r="F971" i="76" s="1"/>
  <c r="J971" i="76"/>
  <c r="I971" i="76"/>
  <c r="H971" i="76"/>
  <c r="G971" i="76"/>
  <c r="F970" i="76"/>
  <c r="F969" i="76"/>
  <c r="J968" i="76"/>
  <c r="J964" i="76" s="1"/>
  <c r="I968" i="76"/>
  <c r="H968" i="76"/>
  <c r="G968" i="76"/>
  <c r="F968" i="76"/>
  <c r="F967" i="76"/>
  <c r="F965" i="76" s="1"/>
  <c r="F966" i="76"/>
  <c r="J965" i="76"/>
  <c r="I965" i="76"/>
  <c r="I964" i="76" s="1"/>
  <c r="I963" i="76" s="1"/>
  <c r="H965" i="76"/>
  <c r="H964" i="76" s="1"/>
  <c r="H963" i="76" s="1"/>
  <c r="G965" i="76"/>
  <c r="G964" i="76"/>
  <c r="F962" i="76"/>
  <c r="F961" i="76"/>
  <c r="F960" i="76"/>
  <c r="F959" i="76"/>
  <c r="F958" i="76"/>
  <c r="F957" i="76"/>
  <c r="J956" i="76"/>
  <c r="I956" i="76"/>
  <c r="H956" i="76"/>
  <c r="G956" i="76"/>
  <c r="F955" i="76"/>
  <c r="F954" i="76"/>
  <c r="F953" i="76" s="1"/>
  <c r="J953" i="76"/>
  <c r="I953" i="76"/>
  <c r="H953" i="76"/>
  <c r="H949" i="76" s="1"/>
  <c r="G953" i="76"/>
  <c r="F952" i="76"/>
  <c r="F951" i="76"/>
  <c r="J950" i="76"/>
  <c r="I950" i="76"/>
  <c r="H950" i="76"/>
  <c r="G950" i="76"/>
  <c r="I949" i="76"/>
  <c r="F947" i="76"/>
  <c r="F946" i="76"/>
  <c r="F945" i="76"/>
  <c r="F944" i="76"/>
  <c r="F943" i="76"/>
  <c r="F942" i="76"/>
  <c r="F941" i="76" s="1"/>
  <c r="J941" i="76"/>
  <c r="I941" i="76"/>
  <c r="H941" i="76"/>
  <c r="G941" i="76"/>
  <c r="F940" i="76"/>
  <c r="F939" i="76"/>
  <c r="J938" i="76"/>
  <c r="I938" i="76"/>
  <c r="I934" i="76" s="1"/>
  <c r="I933" i="76" s="1"/>
  <c r="H938" i="76"/>
  <c r="G938" i="76"/>
  <c r="F937" i="76"/>
  <c r="F936" i="76"/>
  <c r="J935" i="76"/>
  <c r="I935" i="76"/>
  <c r="H935" i="76"/>
  <c r="H934" i="76" s="1"/>
  <c r="H933" i="76" s="1"/>
  <c r="G935" i="76"/>
  <c r="G934" i="76" s="1"/>
  <c r="F932" i="76"/>
  <c r="F931" i="76"/>
  <c r="F930" i="76"/>
  <c r="F929" i="76"/>
  <c r="F928" i="76"/>
  <c r="F927" i="76"/>
  <c r="J926" i="76"/>
  <c r="I926" i="76"/>
  <c r="H926" i="76"/>
  <c r="G926" i="76"/>
  <c r="F925" i="76"/>
  <c r="F924" i="76"/>
  <c r="J923" i="76"/>
  <c r="I923" i="76"/>
  <c r="H923" i="76"/>
  <c r="H919" i="76" s="1"/>
  <c r="H918" i="76" s="1"/>
  <c r="G923" i="76"/>
  <c r="F922" i="76"/>
  <c r="F921" i="76"/>
  <c r="F920" i="76" s="1"/>
  <c r="J920" i="76"/>
  <c r="J919" i="76" s="1"/>
  <c r="J918" i="76" s="1"/>
  <c r="I920" i="76"/>
  <c r="H920" i="76"/>
  <c r="G920" i="76"/>
  <c r="G919" i="76" s="1"/>
  <c r="G918" i="76" s="1"/>
  <c r="F917" i="76"/>
  <c r="F916" i="76"/>
  <c r="F915" i="76"/>
  <c r="F914" i="76"/>
  <c r="F913" i="76"/>
  <c r="F912" i="76"/>
  <c r="J911" i="76"/>
  <c r="I911" i="76"/>
  <c r="H911" i="76"/>
  <c r="G911" i="76"/>
  <c r="F910" i="76"/>
  <c r="F909" i="76"/>
  <c r="F908" i="76" s="1"/>
  <c r="J908" i="76"/>
  <c r="I908" i="76"/>
  <c r="H908" i="76"/>
  <c r="G908" i="76"/>
  <c r="G904" i="76" s="1"/>
  <c r="G903" i="76" s="1"/>
  <c r="F907" i="76"/>
  <c r="F906" i="76"/>
  <c r="J905" i="76"/>
  <c r="I905" i="76"/>
  <c r="I904" i="76" s="1"/>
  <c r="I903" i="76" s="1"/>
  <c r="H905" i="76"/>
  <c r="H904" i="76" s="1"/>
  <c r="G905" i="76"/>
  <c r="F902" i="76"/>
  <c r="F901" i="76"/>
  <c r="F900" i="76"/>
  <c r="F899" i="76"/>
  <c r="F898" i="76"/>
  <c r="F897" i="76"/>
  <c r="J896" i="76"/>
  <c r="I896" i="76"/>
  <c r="H896" i="76"/>
  <c r="G896" i="76"/>
  <c r="F895" i="76"/>
  <c r="F894" i="76"/>
  <c r="J893" i="76"/>
  <c r="J889" i="76" s="1"/>
  <c r="I893" i="76"/>
  <c r="H893" i="76"/>
  <c r="G893" i="76"/>
  <c r="F892" i="76"/>
  <c r="F891" i="76"/>
  <c r="J890" i="76"/>
  <c r="I890" i="76"/>
  <c r="H890" i="76"/>
  <c r="H889" i="76" s="1"/>
  <c r="H888" i="76" s="1"/>
  <c r="G890" i="76"/>
  <c r="F887" i="76"/>
  <c r="F886" i="76"/>
  <c r="F885" i="76"/>
  <c r="F884" i="76"/>
  <c r="F883" i="76"/>
  <c r="F882" i="76"/>
  <c r="J881" i="76"/>
  <c r="I881" i="76"/>
  <c r="H881" i="76"/>
  <c r="G881" i="76"/>
  <c r="F880" i="76"/>
  <c r="F879" i="76"/>
  <c r="J878" i="76"/>
  <c r="I878" i="76"/>
  <c r="I874" i="76" s="1"/>
  <c r="H878" i="76"/>
  <c r="G878" i="76"/>
  <c r="F877" i="76"/>
  <c r="F876" i="76"/>
  <c r="F875" i="76" s="1"/>
  <c r="J875" i="76"/>
  <c r="I875" i="76"/>
  <c r="H875" i="76"/>
  <c r="G875" i="76"/>
  <c r="G874" i="76" s="1"/>
  <c r="G873" i="76" s="1"/>
  <c r="F872" i="76"/>
  <c r="F871" i="76"/>
  <c r="F870" i="76"/>
  <c r="F869" i="76"/>
  <c r="F868" i="76"/>
  <c r="F867" i="76"/>
  <c r="J866" i="76"/>
  <c r="I866" i="76"/>
  <c r="H866" i="76"/>
  <c r="G866" i="76"/>
  <c r="F865" i="76"/>
  <c r="F864" i="76"/>
  <c r="F863" i="76" s="1"/>
  <c r="J863" i="76"/>
  <c r="I863" i="76"/>
  <c r="H863" i="76"/>
  <c r="G863" i="76"/>
  <c r="G859" i="76" s="1"/>
  <c r="G858" i="76" s="1"/>
  <c r="F862" i="76"/>
  <c r="F861" i="76"/>
  <c r="J860" i="76"/>
  <c r="J859" i="76" s="1"/>
  <c r="J858" i="76" s="1"/>
  <c r="I860" i="76"/>
  <c r="I859" i="76" s="1"/>
  <c r="H860" i="76"/>
  <c r="G860" i="76"/>
  <c r="F860" i="76"/>
  <c r="F857" i="76"/>
  <c r="F856" i="76"/>
  <c r="F855" i="76"/>
  <c r="F854" i="76"/>
  <c r="F853" i="76"/>
  <c r="F852" i="76"/>
  <c r="F851" i="76" s="1"/>
  <c r="J851" i="76"/>
  <c r="I851" i="76"/>
  <c r="H851" i="76"/>
  <c r="G851" i="76"/>
  <c r="F850" i="76"/>
  <c r="F849" i="76"/>
  <c r="J848" i="76"/>
  <c r="I848" i="76"/>
  <c r="H848" i="76"/>
  <c r="G848" i="76"/>
  <c r="F847" i="76"/>
  <c r="F846" i="76"/>
  <c r="F845" i="76" s="1"/>
  <c r="J845" i="76"/>
  <c r="I845" i="76"/>
  <c r="H845" i="76"/>
  <c r="H844" i="76" s="1"/>
  <c r="G845" i="76"/>
  <c r="F842" i="76"/>
  <c r="F841" i="76"/>
  <c r="F840" i="76"/>
  <c r="F839" i="76"/>
  <c r="F838" i="76"/>
  <c r="F837" i="76"/>
  <c r="J836" i="76"/>
  <c r="I836" i="76"/>
  <c r="H836" i="76"/>
  <c r="G836" i="76"/>
  <c r="F835" i="76"/>
  <c r="F833" i="76" s="1"/>
  <c r="F834" i="76"/>
  <c r="J833" i="76"/>
  <c r="I833" i="76"/>
  <c r="I829" i="76" s="1"/>
  <c r="H833" i="76"/>
  <c r="H829" i="76" s="1"/>
  <c r="H828" i="76" s="1"/>
  <c r="G833" i="76"/>
  <c r="F832" i="76"/>
  <c r="F831" i="76"/>
  <c r="F830" i="76" s="1"/>
  <c r="J830" i="76"/>
  <c r="I830" i="76"/>
  <c r="H830" i="76"/>
  <c r="G830" i="76"/>
  <c r="G829" i="76" s="1"/>
  <c r="G828" i="76" s="1"/>
  <c r="J829" i="76"/>
  <c r="J828" i="76" s="1"/>
  <c r="F827" i="76"/>
  <c r="F826" i="76"/>
  <c r="F825" i="76"/>
  <c r="F824" i="76"/>
  <c r="F823" i="76"/>
  <c r="F822" i="76"/>
  <c r="J821" i="76"/>
  <c r="I821" i="76"/>
  <c r="H821" i="76"/>
  <c r="G821" i="76"/>
  <c r="F820" i="76"/>
  <c r="F819" i="76"/>
  <c r="J818" i="76"/>
  <c r="I818" i="76"/>
  <c r="H818" i="76"/>
  <c r="H814" i="76" s="1"/>
  <c r="G818" i="76"/>
  <c r="G814" i="76" s="1"/>
  <c r="G813" i="76" s="1"/>
  <c r="F817" i="76"/>
  <c r="F816" i="76"/>
  <c r="J815" i="76"/>
  <c r="J814" i="76" s="1"/>
  <c r="J813" i="76" s="1"/>
  <c r="I815" i="76"/>
  <c r="H815" i="76"/>
  <c r="G815" i="76"/>
  <c r="F815" i="76"/>
  <c r="I814" i="76"/>
  <c r="I813" i="76" s="1"/>
  <c r="F812" i="76"/>
  <c r="F811" i="76"/>
  <c r="F810" i="76"/>
  <c r="F809" i="76"/>
  <c r="F808" i="76"/>
  <c r="F807" i="76"/>
  <c r="F806" i="76" s="1"/>
  <c r="J806" i="76"/>
  <c r="I806" i="76"/>
  <c r="H806" i="76"/>
  <c r="G806" i="76"/>
  <c r="F805" i="76"/>
  <c r="F804" i="76"/>
  <c r="J803" i="76"/>
  <c r="J799" i="76" s="1"/>
  <c r="J798" i="76" s="1"/>
  <c r="I803" i="76"/>
  <c r="H803" i="76"/>
  <c r="G803" i="76"/>
  <c r="F803" i="76"/>
  <c r="F802" i="76"/>
  <c r="F801" i="76"/>
  <c r="J800" i="76"/>
  <c r="I800" i="76"/>
  <c r="H800" i="76"/>
  <c r="H799" i="76" s="1"/>
  <c r="H798" i="76" s="1"/>
  <c r="G800" i="76"/>
  <c r="F797" i="76"/>
  <c r="F796" i="76"/>
  <c r="F795" i="76"/>
  <c r="F794" i="76"/>
  <c r="F793" i="76"/>
  <c r="F792" i="76"/>
  <c r="J791" i="76"/>
  <c r="I791" i="76"/>
  <c r="H791" i="76"/>
  <c r="G791" i="76"/>
  <c r="F790" i="76"/>
  <c r="F789" i="76"/>
  <c r="J788" i="76"/>
  <c r="J784" i="76" s="1"/>
  <c r="J783" i="76" s="1"/>
  <c r="I788" i="76"/>
  <c r="H788" i="76"/>
  <c r="G788" i="76"/>
  <c r="G784" i="76" s="1"/>
  <c r="F788" i="76"/>
  <c r="F787" i="76"/>
  <c r="F785" i="76" s="1"/>
  <c r="F786" i="76"/>
  <c r="J785" i="76"/>
  <c r="I785" i="76"/>
  <c r="H785" i="76"/>
  <c r="H784" i="76" s="1"/>
  <c r="G785" i="76"/>
  <c r="F782" i="76"/>
  <c r="F781" i="76"/>
  <c r="F780" i="76"/>
  <c r="F779" i="76"/>
  <c r="F778" i="76"/>
  <c r="F777" i="76"/>
  <c r="F776" i="76" s="1"/>
  <c r="J776" i="76"/>
  <c r="I776" i="76"/>
  <c r="H776" i="76"/>
  <c r="G776" i="76"/>
  <c r="F775" i="76"/>
  <c r="F774" i="76"/>
  <c r="J773" i="76"/>
  <c r="J769" i="76" s="1"/>
  <c r="J768" i="76" s="1"/>
  <c r="I773" i="76"/>
  <c r="H773" i="76"/>
  <c r="G773" i="76"/>
  <c r="F773" i="76"/>
  <c r="F772" i="76"/>
  <c r="F771" i="76"/>
  <c r="J770" i="76"/>
  <c r="I770" i="76"/>
  <c r="H770" i="76"/>
  <c r="G770" i="76"/>
  <c r="G769" i="76" s="1"/>
  <c r="F767" i="76"/>
  <c r="F766" i="76"/>
  <c r="F765" i="76"/>
  <c r="F764" i="76"/>
  <c r="F763" i="76"/>
  <c r="F762" i="76"/>
  <c r="J761" i="76"/>
  <c r="I761" i="76"/>
  <c r="H761" i="76"/>
  <c r="G761" i="76"/>
  <c r="F760" i="76"/>
  <c r="F759" i="76"/>
  <c r="F758" i="76" s="1"/>
  <c r="J758" i="76"/>
  <c r="I758" i="76"/>
  <c r="H758" i="76"/>
  <c r="G758" i="76"/>
  <c r="G754" i="76" s="1"/>
  <c r="G753" i="76" s="1"/>
  <c r="F757" i="76"/>
  <c r="F755" i="76" s="1"/>
  <c r="F756" i="76"/>
  <c r="J755" i="76"/>
  <c r="J754" i="76" s="1"/>
  <c r="J753" i="76" s="1"/>
  <c r="I755" i="76"/>
  <c r="I754" i="76" s="1"/>
  <c r="I753" i="76" s="1"/>
  <c r="H755" i="76"/>
  <c r="G755" i="76"/>
  <c r="H754" i="76"/>
  <c r="H753" i="76" s="1"/>
  <c r="F752" i="76"/>
  <c r="F751" i="76"/>
  <c r="F750" i="76"/>
  <c r="F749" i="76"/>
  <c r="F748" i="76"/>
  <c r="F747" i="76"/>
  <c r="F746" i="76" s="1"/>
  <c r="J746" i="76"/>
  <c r="I746" i="76"/>
  <c r="H746" i="76"/>
  <c r="G746" i="76"/>
  <c r="F745" i="76"/>
  <c r="F743" i="76" s="1"/>
  <c r="F744" i="76"/>
  <c r="J743" i="76"/>
  <c r="I743" i="76"/>
  <c r="H743" i="76"/>
  <c r="H739" i="76" s="1"/>
  <c r="H738" i="76" s="1"/>
  <c r="G743" i="76"/>
  <c r="F742" i="76"/>
  <c r="F741" i="76"/>
  <c r="F740" i="76" s="1"/>
  <c r="F739" i="76" s="1"/>
  <c r="F738" i="76" s="1"/>
  <c r="J740" i="76"/>
  <c r="I740" i="76"/>
  <c r="H740" i="76"/>
  <c r="G740" i="76"/>
  <c r="G739" i="76" s="1"/>
  <c r="G738" i="76" s="1"/>
  <c r="J739" i="76"/>
  <c r="J738" i="76" s="1"/>
  <c r="F737" i="76"/>
  <c r="F736" i="76"/>
  <c r="F735" i="76"/>
  <c r="F734" i="76"/>
  <c r="F733" i="76"/>
  <c r="F732" i="76"/>
  <c r="J731" i="76"/>
  <c r="I731" i="76"/>
  <c r="H731" i="76"/>
  <c r="G731" i="76"/>
  <c r="F730" i="76"/>
  <c r="F729" i="76"/>
  <c r="F728" i="76" s="1"/>
  <c r="J728" i="76"/>
  <c r="I728" i="76"/>
  <c r="H728" i="76"/>
  <c r="G728" i="76"/>
  <c r="F727" i="76"/>
  <c r="F726" i="76"/>
  <c r="J725" i="76"/>
  <c r="I725" i="76"/>
  <c r="H725" i="76"/>
  <c r="G725" i="76"/>
  <c r="J724" i="76"/>
  <c r="I724" i="76"/>
  <c r="F722" i="76"/>
  <c r="F721" i="76"/>
  <c r="F720" i="76"/>
  <c r="F719" i="76"/>
  <c r="F718" i="76"/>
  <c r="F717" i="76"/>
  <c r="J716" i="76"/>
  <c r="I716" i="76"/>
  <c r="H716" i="76"/>
  <c r="G716" i="76"/>
  <c r="F716" i="76"/>
  <c r="F715" i="76"/>
  <c r="F714" i="76"/>
  <c r="J713" i="76"/>
  <c r="I713" i="76"/>
  <c r="I709" i="76" s="1"/>
  <c r="I708" i="76" s="1"/>
  <c r="H713" i="76"/>
  <c r="G713" i="76"/>
  <c r="F712" i="76"/>
  <c r="F711" i="76"/>
  <c r="J710" i="76"/>
  <c r="I710" i="76"/>
  <c r="H710" i="76"/>
  <c r="H709" i="76" s="1"/>
  <c r="H708" i="76" s="1"/>
  <c r="G710" i="76"/>
  <c r="G709" i="76" s="1"/>
  <c r="G708" i="76" s="1"/>
  <c r="F707" i="76"/>
  <c r="F706" i="76"/>
  <c r="F705" i="76"/>
  <c r="F704" i="76"/>
  <c r="F703" i="76"/>
  <c r="F702" i="76"/>
  <c r="J701" i="76"/>
  <c r="I701" i="76"/>
  <c r="H701" i="76"/>
  <c r="G701" i="76"/>
  <c r="F700" i="76"/>
  <c r="F699" i="76"/>
  <c r="F698" i="76" s="1"/>
  <c r="J698" i="76"/>
  <c r="I698" i="76"/>
  <c r="H698" i="76"/>
  <c r="G698" i="76"/>
  <c r="G694" i="76" s="1"/>
  <c r="G693" i="76" s="1"/>
  <c r="F697" i="76"/>
  <c r="F696" i="76"/>
  <c r="J695" i="76"/>
  <c r="I695" i="76"/>
  <c r="H695" i="76"/>
  <c r="H694" i="76" s="1"/>
  <c r="H693" i="76" s="1"/>
  <c r="G695" i="76"/>
  <c r="F692" i="76"/>
  <c r="F691" i="76"/>
  <c r="F690" i="76"/>
  <c r="F689" i="76"/>
  <c r="F688" i="76"/>
  <c r="F687" i="76"/>
  <c r="J686" i="76"/>
  <c r="I686" i="76"/>
  <c r="H686" i="76"/>
  <c r="G686" i="76"/>
  <c r="F685" i="76"/>
  <c r="F684" i="76"/>
  <c r="F683" i="76" s="1"/>
  <c r="J683" i="76"/>
  <c r="I683" i="76"/>
  <c r="H683" i="76"/>
  <c r="H679" i="76" s="1"/>
  <c r="H678" i="76" s="1"/>
  <c r="G683" i="76"/>
  <c r="F682" i="76"/>
  <c r="F681" i="76"/>
  <c r="J680" i="76"/>
  <c r="J679" i="76" s="1"/>
  <c r="J678" i="76" s="1"/>
  <c r="I680" i="76"/>
  <c r="I679" i="76" s="1"/>
  <c r="H680" i="76"/>
  <c r="G680" i="76"/>
  <c r="F677" i="76"/>
  <c r="F676" i="76"/>
  <c r="F675" i="76"/>
  <c r="F674" i="76"/>
  <c r="F673" i="76"/>
  <c r="F672" i="76"/>
  <c r="J671" i="76"/>
  <c r="I671" i="76"/>
  <c r="H671" i="76"/>
  <c r="G671" i="76"/>
  <c r="F670" i="76"/>
  <c r="F669" i="76"/>
  <c r="J668" i="76"/>
  <c r="I668" i="76"/>
  <c r="I664" i="76" s="1"/>
  <c r="I663" i="76" s="1"/>
  <c r="H668" i="76"/>
  <c r="G668" i="76"/>
  <c r="F667" i="76"/>
  <c r="F666" i="76"/>
  <c r="F665" i="76" s="1"/>
  <c r="J665" i="76"/>
  <c r="I665" i="76"/>
  <c r="H665" i="76"/>
  <c r="H664" i="76" s="1"/>
  <c r="G665" i="76"/>
  <c r="F662" i="76"/>
  <c r="F661" i="76"/>
  <c r="F660" i="76"/>
  <c r="F656" i="76"/>
  <c r="J656" i="76"/>
  <c r="I656" i="76"/>
  <c r="H656" i="76"/>
  <c r="G656" i="76"/>
  <c r="F655" i="76"/>
  <c r="F654" i="76"/>
  <c r="J653" i="76"/>
  <c r="J649" i="76" s="1"/>
  <c r="I653" i="76"/>
  <c r="I649" i="76" s="1"/>
  <c r="H653" i="76"/>
  <c r="G653" i="76"/>
  <c r="F652" i="76"/>
  <c r="F651" i="76"/>
  <c r="F650" i="76" s="1"/>
  <c r="J650" i="76"/>
  <c r="I650" i="76"/>
  <c r="H650" i="76"/>
  <c r="H649" i="76" s="1"/>
  <c r="H648" i="76" s="1"/>
  <c r="G650" i="76"/>
  <c r="G649" i="76" s="1"/>
  <c r="G648" i="76" s="1"/>
  <c r="F647" i="76"/>
  <c r="F646" i="76"/>
  <c r="F645" i="76"/>
  <c r="F644" i="76"/>
  <c r="F643" i="76"/>
  <c r="F642" i="76"/>
  <c r="J641" i="76"/>
  <c r="I641" i="76"/>
  <c r="H641" i="76"/>
  <c r="G641" i="76"/>
  <c r="F640" i="76"/>
  <c r="F638" i="76" s="1"/>
  <c r="F639" i="76"/>
  <c r="J638" i="76"/>
  <c r="I638" i="76"/>
  <c r="H638" i="76"/>
  <c r="G638" i="76"/>
  <c r="F637" i="76"/>
  <c r="F636" i="76"/>
  <c r="J635" i="76"/>
  <c r="I635" i="76"/>
  <c r="H635" i="76"/>
  <c r="G635" i="76"/>
  <c r="F630" i="76"/>
  <c r="F629" i="76"/>
  <c r="J628" i="76"/>
  <c r="I628" i="76"/>
  <c r="H628" i="76"/>
  <c r="G628" i="76"/>
  <c r="F628" i="76"/>
  <c r="F627" i="76"/>
  <c r="F626" i="76"/>
  <c r="F625" i="76"/>
  <c r="F624" i="76"/>
  <c r="F623" i="76" s="1"/>
  <c r="J623" i="76"/>
  <c r="I623" i="76"/>
  <c r="H623" i="76"/>
  <c r="G623" i="76"/>
  <c r="F622" i="76"/>
  <c r="F621" i="76"/>
  <c r="F620" i="76"/>
  <c r="F619" i="76"/>
  <c r="F618" i="76"/>
  <c r="F617" i="76"/>
  <c r="F616" i="76"/>
  <c r="F615" i="76"/>
  <c r="F614" i="76"/>
  <c r="F613" i="76"/>
  <c r="J612" i="76"/>
  <c r="I612" i="76"/>
  <c r="I608" i="76" s="1"/>
  <c r="I607" i="76" s="1"/>
  <c r="H612" i="76"/>
  <c r="G612" i="76"/>
  <c r="F611" i="76"/>
  <c r="F609" i="76" s="1"/>
  <c r="F610" i="76"/>
  <c r="J609" i="76"/>
  <c r="I609" i="76"/>
  <c r="H609" i="76"/>
  <c r="H608" i="76" s="1"/>
  <c r="H607" i="76" s="1"/>
  <c r="G609" i="76"/>
  <c r="J608" i="76"/>
  <c r="F606" i="76"/>
  <c r="F605" i="76"/>
  <c r="J604" i="76"/>
  <c r="I604" i="76"/>
  <c r="H604" i="76"/>
  <c r="G604" i="76"/>
  <c r="F603" i="76"/>
  <c r="F602" i="76"/>
  <c r="F601" i="76"/>
  <c r="F600" i="76"/>
  <c r="F599" i="76"/>
  <c r="F598" i="76"/>
  <c r="F597" i="76"/>
  <c r="F596" i="76"/>
  <c r="F595" i="76"/>
  <c r="F594" i="76"/>
  <c r="F593" i="76"/>
  <c r="F592" i="76"/>
  <c r="F591" i="76"/>
  <c r="F590" i="76"/>
  <c r="F589" i="76"/>
  <c r="F588" i="76"/>
  <c r="F587" i="76"/>
  <c r="F586" i="76"/>
  <c r="F585" i="76"/>
  <c r="F584" i="76"/>
  <c r="J583" i="76"/>
  <c r="I583" i="76"/>
  <c r="H583" i="76"/>
  <c r="G583" i="76"/>
  <c r="F582" i="76"/>
  <c r="F581" i="76"/>
  <c r="F580" i="76"/>
  <c r="F579" i="76"/>
  <c r="F578" i="76"/>
  <c r="F577" i="76"/>
  <c r="F576" i="76"/>
  <c r="F575" i="76"/>
  <c r="J574" i="76"/>
  <c r="I574" i="76"/>
  <c r="H574" i="76"/>
  <c r="G574" i="76"/>
  <c r="J573" i="76"/>
  <c r="I573" i="76"/>
  <c r="I572" i="76"/>
  <c r="F571" i="76"/>
  <c r="F570" i="76"/>
  <c r="J569" i="76"/>
  <c r="I569" i="76"/>
  <c r="H569" i="76"/>
  <c r="G569" i="76"/>
  <c r="F569" i="76"/>
  <c r="F568" i="76"/>
  <c r="F567" i="76"/>
  <c r="F566" i="76"/>
  <c r="F565" i="76"/>
  <c r="F564" i="76"/>
  <c r="F563" i="76"/>
  <c r="F562" i="76"/>
  <c r="F561" i="76"/>
  <c r="F560" i="76"/>
  <c r="J559" i="76"/>
  <c r="I559" i="76"/>
  <c r="H559" i="76"/>
  <c r="G559" i="76"/>
  <c r="G552" i="76" s="1"/>
  <c r="G551" i="76" s="1"/>
  <c r="F558" i="76"/>
  <c r="F557" i="76"/>
  <c r="F556" i="76"/>
  <c r="F555" i="76"/>
  <c r="F553" i="76" s="1"/>
  <c r="F554" i="76"/>
  <c r="J553" i="76"/>
  <c r="J552" i="76" s="1"/>
  <c r="I553" i="76"/>
  <c r="I552" i="76" s="1"/>
  <c r="I551" i="76" s="1"/>
  <c r="H553" i="76"/>
  <c r="G553" i="76"/>
  <c r="F550" i="76"/>
  <c r="F549" i="76"/>
  <c r="J548" i="76"/>
  <c r="I548" i="76"/>
  <c r="H548" i="76"/>
  <c r="G548" i="76"/>
  <c r="F548" i="76"/>
  <c r="F547" i="76"/>
  <c r="F544" i="76" s="1"/>
  <c r="F546" i="76"/>
  <c r="F545" i="76"/>
  <c r="J544" i="76"/>
  <c r="I544" i="76"/>
  <c r="H544" i="76"/>
  <c r="G544" i="76"/>
  <c r="F543" i="76"/>
  <c r="F540" i="76" s="1"/>
  <c r="F542" i="76"/>
  <c r="F541" i="76"/>
  <c r="J540" i="76"/>
  <c r="J539" i="76" s="1"/>
  <c r="J538" i="76" s="1"/>
  <c r="I540" i="76"/>
  <c r="I539" i="76" s="1"/>
  <c r="I538" i="76" s="1"/>
  <c r="H540" i="76"/>
  <c r="G540" i="76"/>
  <c r="H539" i="76"/>
  <c r="H538" i="76" s="1"/>
  <c r="G539" i="76"/>
  <c r="G538" i="76"/>
  <c r="F537" i="76"/>
  <c r="F536" i="76"/>
  <c r="F535" i="76" s="1"/>
  <c r="J535" i="76"/>
  <c r="I535" i="76"/>
  <c r="H535" i="76"/>
  <c r="G535" i="76"/>
  <c r="F534" i="76"/>
  <c r="F533" i="76"/>
  <c r="F532" i="76"/>
  <c r="F531" i="76"/>
  <c r="F530" i="76"/>
  <c r="F529" i="76"/>
  <c r="F528" i="76"/>
  <c r="F527" i="76"/>
  <c r="F526" i="76"/>
  <c r="F525" i="76"/>
  <c r="J524" i="76"/>
  <c r="I524" i="76"/>
  <c r="H524" i="76"/>
  <c r="G524" i="76"/>
  <c r="F523" i="76"/>
  <c r="F522" i="76"/>
  <c r="F521" i="76"/>
  <c r="F520" i="76"/>
  <c r="F519" i="76"/>
  <c r="F518" i="76"/>
  <c r="J517" i="76"/>
  <c r="J516" i="76" s="1"/>
  <c r="J515" i="76" s="1"/>
  <c r="I517" i="76"/>
  <c r="H517" i="76"/>
  <c r="G517" i="76"/>
  <c r="F517" i="76"/>
  <c r="F514" i="76"/>
  <c r="F513" i="76"/>
  <c r="J512" i="76"/>
  <c r="I512" i="76"/>
  <c r="I496" i="76" s="1"/>
  <c r="H512" i="76"/>
  <c r="G512" i="76"/>
  <c r="F512" i="76"/>
  <c r="F511" i="76"/>
  <c r="F510" i="76"/>
  <c r="F509" i="76"/>
  <c r="F508" i="76"/>
  <c r="J507" i="76"/>
  <c r="J497" i="76" s="1"/>
  <c r="J496" i="76" s="1"/>
  <c r="I507" i="76"/>
  <c r="H507" i="76"/>
  <c r="G507" i="76"/>
  <c r="F507" i="76"/>
  <c r="F506" i="76"/>
  <c r="F505" i="76"/>
  <c r="F504" i="76"/>
  <c r="F503" i="76"/>
  <c r="F502" i="76"/>
  <c r="F501" i="76"/>
  <c r="F500" i="76"/>
  <c r="F499" i="76"/>
  <c r="F498" i="76" s="1"/>
  <c r="J498" i="76"/>
  <c r="I498" i="76"/>
  <c r="H498" i="76"/>
  <c r="H497" i="76" s="1"/>
  <c r="H496" i="76" s="1"/>
  <c r="G498" i="76"/>
  <c r="G497" i="76" s="1"/>
  <c r="G496" i="76" s="1"/>
  <c r="I497" i="76"/>
  <c r="F497" i="76"/>
  <c r="F496" i="76" s="1"/>
  <c r="F495" i="76"/>
  <c r="F493" i="76" s="1"/>
  <c r="F494" i="76"/>
  <c r="J493" i="76"/>
  <c r="I493" i="76"/>
  <c r="H493" i="76"/>
  <c r="G493" i="76"/>
  <c r="F492" i="76"/>
  <c r="F491" i="76"/>
  <c r="F490" i="76"/>
  <c r="F489" i="76"/>
  <c r="J488" i="76"/>
  <c r="J480" i="76" s="1"/>
  <c r="J479" i="76" s="1"/>
  <c r="I488" i="76"/>
  <c r="H488" i="76"/>
  <c r="G488" i="76"/>
  <c r="F488" i="76"/>
  <c r="F487" i="76"/>
  <c r="F486" i="76"/>
  <c r="F485" i="76"/>
  <c r="F484" i="76"/>
  <c r="F483" i="76"/>
  <c r="F482" i="76"/>
  <c r="J481" i="76"/>
  <c r="I481" i="76"/>
  <c r="I480" i="76" s="1"/>
  <c r="I479" i="76" s="1"/>
  <c r="H481" i="76"/>
  <c r="H480" i="76" s="1"/>
  <c r="G481" i="76"/>
  <c r="H479" i="76"/>
  <c r="F478" i="76"/>
  <c r="F477" i="76"/>
  <c r="J476" i="76"/>
  <c r="I476" i="76"/>
  <c r="H476" i="76"/>
  <c r="G476" i="76"/>
  <c r="F475" i="76"/>
  <c r="F474" i="76"/>
  <c r="F473" i="76"/>
  <c r="J472" i="76"/>
  <c r="I472" i="76"/>
  <c r="I464" i="76" s="1"/>
  <c r="H472" i="76"/>
  <c r="G472" i="76"/>
  <c r="F471" i="76"/>
  <c r="F470" i="76"/>
  <c r="F469" i="76"/>
  <c r="F468" i="76"/>
  <c r="F467" i="76"/>
  <c r="F466" i="76"/>
  <c r="J465" i="76"/>
  <c r="J464" i="76" s="1"/>
  <c r="J463" i="76" s="1"/>
  <c r="I465" i="76"/>
  <c r="H465" i="76"/>
  <c r="G465" i="76"/>
  <c r="G464" i="76" s="1"/>
  <c r="G463" i="76" s="1"/>
  <c r="F465" i="76"/>
  <c r="F462" i="76"/>
  <c r="F461" i="76"/>
  <c r="J460" i="76"/>
  <c r="I460" i="76"/>
  <c r="H460" i="76"/>
  <c r="G460" i="76"/>
  <c r="F460" i="76"/>
  <c r="F459" i="76"/>
  <c r="F458" i="76"/>
  <c r="F457" i="76"/>
  <c r="F456" i="76"/>
  <c r="F455" i="76"/>
  <c r="F454" i="76"/>
  <c r="F453" i="76"/>
  <c r="F452" i="76"/>
  <c r="J451" i="76"/>
  <c r="I451" i="76"/>
  <c r="H451" i="76"/>
  <c r="G451" i="76"/>
  <c r="F450" i="76"/>
  <c r="F449" i="76"/>
  <c r="F448" i="76"/>
  <c r="F447" i="76"/>
  <c r="F446" i="76"/>
  <c r="F445" i="76"/>
  <c r="F444" i="76"/>
  <c r="F443" i="76"/>
  <c r="J442" i="76"/>
  <c r="I442" i="76"/>
  <c r="H442" i="76"/>
  <c r="G442" i="76"/>
  <c r="I441" i="76"/>
  <c r="H441" i="76"/>
  <c r="H440" i="76" s="1"/>
  <c r="F439" i="76"/>
  <c r="F438" i="76"/>
  <c r="J437" i="76"/>
  <c r="I437" i="76"/>
  <c r="H437" i="76"/>
  <c r="G437" i="76"/>
  <c r="F437" i="76"/>
  <c r="F436" i="76"/>
  <c r="F435" i="76"/>
  <c r="F434" i="76"/>
  <c r="F433" i="76"/>
  <c r="F432" i="76"/>
  <c r="F431" i="76"/>
  <c r="F430" i="76"/>
  <c r="F429" i="76"/>
  <c r="F428" i="76"/>
  <c r="F427" i="76"/>
  <c r="J426" i="76"/>
  <c r="I426" i="76"/>
  <c r="H426" i="76"/>
  <c r="G426" i="76"/>
  <c r="F425" i="76"/>
  <c r="F424" i="76"/>
  <c r="F423" i="76"/>
  <c r="F422" i="76"/>
  <c r="F421" i="76"/>
  <c r="F420" i="76"/>
  <c r="F419" i="76"/>
  <c r="F418" i="76"/>
  <c r="J417" i="76"/>
  <c r="I417" i="76"/>
  <c r="I416" i="76" s="1"/>
  <c r="I415" i="76" s="1"/>
  <c r="H417" i="76"/>
  <c r="H416" i="76" s="1"/>
  <c r="H415" i="76" s="1"/>
  <c r="G417" i="76"/>
  <c r="J416" i="76"/>
  <c r="G416" i="76"/>
  <c r="G415" i="76"/>
  <c r="F414" i="76"/>
  <c r="F413" i="76"/>
  <c r="J412" i="76"/>
  <c r="I412" i="76"/>
  <c r="H412" i="76"/>
  <c r="G412" i="76"/>
  <c r="F411" i="76"/>
  <c r="F410" i="76"/>
  <c r="F409" i="76"/>
  <c r="F408" i="76"/>
  <c r="F407" i="76"/>
  <c r="F406" i="76"/>
  <c r="F405" i="76"/>
  <c r="F401" i="76" s="1"/>
  <c r="F404" i="76"/>
  <c r="F403" i="76"/>
  <c r="F402" i="76"/>
  <c r="J401" i="76"/>
  <c r="I401" i="76"/>
  <c r="H401" i="76"/>
  <c r="G401" i="76"/>
  <c r="F400" i="76"/>
  <c r="F399" i="76"/>
  <c r="F398" i="76"/>
  <c r="F397" i="76"/>
  <c r="F396" i="76"/>
  <c r="F395" i="76"/>
  <c r="F394" i="76"/>
  <c r="F393" i="76"/>
  <c r="F392" i="76"/>
  <c r="F391" i="76"/>
  <c r="J390" i="76"/>
  <c r="J389" i="76" s="1"/>
  <c r="J388" i="76" s="1"/>
  <c r="I390" i="76"/>
  <c r="I389" i="76" s="1"/>
  <c r="I388" i="76" s="1"/>
  <c r="H390" i="76"/>
  <c r="G390" i="76"/>
  <c r="F387" i="76"/>
  <c r="F386" i="76"/>
  <c r="F385" i="76"/>
  <c r="F384" i="76"/>
  <c r="F383" i="76"/>
  <c r="F382" i="76"/>
  <c r="J381" i="76"/>
  <c r="I381" i="76"/>
  <c r="H381" i="76"/>
  <c r="G381" i="76"/>
  <c r="F380" i="76"/>
  <c r="F379" i="76"/>
  <c r="F378" i="76"/>
  <c r="J377" i="76"/>
  <c r="J372" i="76" s="1"/>
  <c r="J371" i="76" s="1"/>
  <c r="I377" i="76"/>
  <c r="H377" i="76"/>
  <c r="G377" i="76"/>
  <c r="G372" i="76" s="1"/>
  <c r="F376" i="76"/>
  <c r="F375" i="76"/>
  <c r="F374" i="76"/>
  <c r="J373" i="76"/>
  <c r="I373" i="76"/>
  <c r="H373" i="76"/>
  <c r="H372" i="76" s="1"/>
  <c r="G373" i="76"/>
  <c r="I372" i="76"/>
  <c r="I371" i="76" s="1"/>
  <c r="H371" i="76"/>
  <c r="G371" i="76"/>
  <c r="F370" i="76"/>
  <c r="F369" i="76"/>
  <c r="J368" i="76"/>
  <c r="I368" i="76"/>
  <c r="H368" i="76"/>
  <c r="G368" i="76"/>
  <c r="F367" i="76"/>
  <c r="F366" i="76"/>
  <c r="F365" i="76"/>
  <c r="F364" i="76"/>
  <c r="F363" i="76"/>
  <c r="F362" i="76"/>
  <c r="F361" i="76"/>
  <c r="F360" i="76"/>
  <c r="F359" i="76"/>
  <c r="F358" i="76"/>
  <c r="F357" i="76"/>
  <c r="F356" i="76"/>
  <c r="F355" i="76"/>
  <c r="F354" i="76"/>
  <c r="F353" i="76" s="1"/>
  <c r="J353" i="76"/>
  <c r="I353" i="76"/>
  <c r="H353" i="76"/>
  <c r="H341" i="76" s="1"/>
  <c r="H340" i="76" s="1"/>
  <c r="G353" i="76"/>
  <c r="F352" i="76"/>
  <c r="F351" i="76"/>
  <c r="F350" i="76"/>
  <c r="F349" i="76"/>
  <c r="F348" i="76"/>
  <c r="F347" i="76"/>
  <c r="F346" i="76"/>
  <c r="F345" i="76"/>
  <c r="F344" i="76"/>
  <c r="F343" i="76"/>
  <c r="J342" i="76"/>
  <c r="I342" i="76"/>
  <c r="H342" i="76"/>
  <c r="G342" i="76"/>
  <c r="I341" i="76"/>
  <c r="F339" i="76"/>
  <c r="F338" i="76"/>
  <c r="J337" i="76"/>
  <c r="I337" i="76"/>
  <c r="H337" i="76"/>
  <c r="G337" i="76"/>
  <c r="F336" i="76"/>
  <c r="F335" i="76"/>
  <c r="F334" i="76"/>
  <c r="F333" i="76"/>
  <c r="F332" i="76"/>
  <c r="F331" i="76"/>
  <c r="F330" i="76"/>
  <c r="F329" i="76"/>
  <c r="F328" i="76"/>
  <c r="F327" i="76"/>
  <c r="F326" i="76"/>
  <c r="F325" i="76"/>
  <c r="F324" i="76"/>
  <c r="F323" i="76"/>
  <c r="F322" i="76"/>
  <c r="F321" i="76"/>
  <c r="J320" i="76"/>
  <c r="I320" i="76"/>
  <c r="H320" i="76"/>
  <c r="G320" i="76"/>
  <c r="F319" i="76"/>
  <c r="F318" i="76"/>
  <c r="F317" i="76"/>
  <c r="F316" i="76"/>
  <c r="F315" i="76"/>
  <c r="F314" i="76"/>
  <c r="F313" i="76"/>
  <c r="F312" i="76"/>
  <c r="F311" i="76"/>
  <c r="F310" i="76"/>
  <c r="J309" i="76"/>
  <c r="J303" i="76" s="1"/>
  <c r="J302" i="76" s="1"/>
  <c r="I309" i="76"/>
  <c r="H309" i="76"/>
  <c r="G309" i="76"/>
  <c r="F309" i="76"/>
  <c r="F308" i="76"/>
  <c r="F307" i="76"/>
  <c r="F306" i="76"/>
  <c r="F305" i="76"/>
  <c r="F304" i="76" s="1"/>
  <c r="J304" i="76"/>
  <c r="I304" i="76"/>
  <c r="H304" i="76"/>
  <c r="G304" i="76"/>
  <c r="G303" i="76" s="1"/>
  <c r="G302" i="76" s="1"/>
  <c r="F301" i="76"/>
  <c r="F300" i="76"/>
  <c r="F299" i="76" s="1"/>
  <c r="J299" i="76"/>
  <c r="I299" i="76"/>
  <c r="H299" i="76"/>
  <c r="G299" i="76"/>
  <c r="G298" i="76"/>
  <c r="F298" i="76" s="1"/>
  <c r="F297" i="76"/>
  <c r="J296" i="76"/>
  <c r="I296" i="76"/>
  <c r="H296" i="76"/>
  <c r="G296" i="76"/>
  <c r="G292" i="76" s="1"/>
  <c r="F296" i="76"/>
  <c r="F292" i="76" s="1"/>
  <c r="F295" i="76"/>
  <c r="F294" i="76"/>
  <c r="J293" i="76"/>
  <c r="I293" i="76"/>
  <c r="I292" i="76" s="1"/>
  <c r="I291" i="76" s="1"/>
  <c r="H293" i="76"/>
  <c r="G293" i="76"/>
  <c r="F293" i="76"/>
  <c r="J292" i="76"/>
  <c r="J291" i="76" s="1"/>
  <c r="H292" i="76"/>
  <c r="H291" i="76"/>
  <c r="F290" i="76"/>
  <c r="F289" i="76"/>
  <c r="J288" i="76"/>
  <c r="I288" i="76"/>
  <c r="H288" i="76"/>
  <c r="H268" i="76" s="1"/>
  <c r="G288" i="76"/>
  <c r="F287" i="76"/>
  <c r="F286" i="76"/>
  <c r="F285" i="76"/>
  <c r="F284" i="76"/>
  <c r="F283" i="76"/>
  <c r="F282" i="76"/>
  <c r="F281" i="76"/>
  <c r="F280" i="76"/>
  <c r="F279" i="76"/>
  <c r="F278" i="76"/>
  <c r="J277" i="76"/>
  <c r="J269" i="76" s="1"/>
  <c r="J268" i="76" s="1"/>
  <c r="I277" i="76"/>
  <c r="H277" i="76"/>
  <c r="G277" i="76"/>
  <c r="G269" i="76" s="1"/>
  <c r="G268" i="76" s="1"/>
  <c r="F277" i="76"/>
  <c r="F276" i="76"/>
  <c r="F275" i="76"/>
  <c r="F274" i="76"/>
  <c r="F273" i="76"/>
  <c r="F272" i="76"/>
  <c r="F271" i="76"/>
  <c r="J270" i="76"/>
  <c r="I270" i="76"/>
  <c r="I269" i="76" s="1"/>
  <c r="I268" i="76" s="1"/>
  <c r="H270" i="76"/>
  <c r="H269" i="76" s="1"/>
  <c r="G270" i="76"/>
  <c r="F267" i="76"/>
  <c r="F266" i="76"/>
  <c r="F265" i="76" s="1"/>
  <c r="J265" i="76"/>
  <c r="I265" i="76"/>
  <c r="H265" i="76"/>
  <c r="G265" i="76"/>
  <c r="F264" i="76"/>
  <c r="F263" i="76"/>
  <c r="F262" i="76"/>
  <c r="F261" i="76"/>
  <c r="F260" i="76"/>
  <c r="F259" i="76"/>
  <c r="F258" i="76"/>
  <c r="F257" i="76"/>
  <c r="F256" i="76"/>
  <c r="F255" i="76"/>
  <c r="F254" i="76" s="1"/>
  <c r="J254" i="76"/>
  <c r="I254" i="76"/>
  <c r="I246" i="76" s="1"/>
  <c r="H254" i="76"/>
  <c r="G254" i="76"/>
  <c r="F253" i="76"/>
  <c r="F252" i="76"/>
  <c r="F251" i="76"/>
  <c r="F250" i="76"/>
  <c r="F249" i="76"/>
  <c r="F248" i="76"/>
  <c r="J247" i="76"/>
  <c r="I247" i="76"/>
  <c r="H247" i="76"/>
  <c r="G247" i="76"/>
  <c r="G246" i="76" s="1"/>
  <c r="G245" i="76" s="1"/>
  <c r="J246" i="76"/>
  <c r="I245" i="76"/>
  <c r="F244" i="76"/>
  <c r="F242" i="76" s="1"/>
  <c r="F243" i="76"/>
  <c r="J242" i="76"/>
  <c r="I242" i="76"/>
  <c r="I227" i="76" s="1"/>
  <c r="H242" i="76"/>
  <c r="G242" i="76"/>
  <c r="F241" i="76"/>
  <c r="F240" i="76"/>
  <c r="F239" i="76"/>
  <c r="F238" i="76"/>
  <c r="F237" i="76"/>
  <c r="F236" i="76"/>
  <c r="F235" i="76"/>
  <c r="J234" i="76"/>
  <c r="I234" i="76"/>
  <c r="H234" i="76"/>
  <c r="H228" i="76" s="1"/>
  <c r="G234" i="76"/>
  <c r="F233" i="76"/>
  <c r="F232" i="76"/>
  <c r="F231" i="76"/>
  <c r="F230" i="76"/>
  <c r="J229" i="76"/>
  <c r="I229" i="76"/>
  <c r="I228" i="76" s="1"/>
  <c r="H229" i="76"/>
  <c r="G229" i="76"/>
  <c r="G228" i="76" s="1"/>
  <c r="G227" i="76" s="1"/>
  <c r="J228" i="76"/>
  <c r="J227" i="76" s="1"/>
  <c r="F226" i="76"/>
  <c r="F225" i="76"/>
  <c r="F224" i="76"/>
  <c r="J223" i="76"/>
  <c r="J213" i="76" s="1"/>
  <c r="I223" i="76"/>
  <c r="H223" i="76"/>
  <c r="G223" i="76"/>
  <c r="F222" i="76"/>
  <c r="F221" i="76"/>
  <c r="F220" i="76"/>
  <c r="J219" i="76"/>
  <c r="J214" i="76" s="1"/>
  <c r="I219" i="76"/>
  <c r="H219" i="76"/>
  <c r="G219" i="76"/>
  <c r="F218" i="76"/>
  <c r="F217" i="76"/>
  <c r="F216" i="76"/>
  <c r="J215" i="76"/>
  <c r="I215" i="76"/>
  <c r="I214" i="76" s="1"/>
  <c r="I213" i="76" s="1"/>
  <c r="H215" i="76"/>
  <c r="G215" i="76"/>
  <c r="F212" i="76"/>
  <c r="F211" i="76"/>
  <c r="J210" i="76"/>
  <c r="I210" i="76"/>
  <c r="H210" i="76"/>
  <c r="G210" i="76"/>
  <c r="F209" i="76"/>
  <c r="F208" i="76"/>
  <c r="F207" i="76"/>
  <c r="F206" i="76"/>
  <c r="F205" i="76"/>
  <c r="F204" i="76"/>
  <c r="J203" i="76"/>
  <c r="I203" i="76"/>
  <c r="I198" i="76" s="1"/>
  <c r="H203" i="76"/>
  <c r="G203" i="76"/>
  <c r="F202" i="76"/>
  <c r="F201" i="76"/>
  <c r="F200" i="76"/>
  <c r="J199" i="76"/>
  <c r="I199" i="76"/>
  <c r="H199" i="76"/>
  <c r="G199" i="76"/>
  <c r="J198" i="76"/>
  <c r="J197" i="76"/>
  <c r="I197" i="76"/>
  <c r="F196" i="76"/>
  <c r="F195" i="76"/>
  <c r="F194" i="76"/>
  <c r="F193" i="76"/>
  <c r="J192" i="76"/>
  <c r="I192" i="76"/>
  <c r="H192" i="76"/>
  <c r="G192" i="76"/>
  <c r="G184" i="76" s="1"/>
  <c r="F191" i="76"/>
  <c r="F190" i="76"/>
  <c r="F189" i="76"/>
  <c r="F188" i="76" s="1"/>
  <c r="J188" i="76"/>
  <c r="I188" i="76"/>
  <c r="H188" i="76"/>
  <c r="G188" i="76"/>
  <c r="G185" i="76" s="1"/>
  <c r="F187" i="76"/>
  <c r="J186" i="76"/>
  <c r="I186" i="76"/>
  <c r="H186" i="76"/>
  <c r="G186" i="76"/>
  <c r="F186" i="76"/>
  <c r="I185" i="76"/>
  <c r="I184" i="76" s="1"/>
  <c r="F183" i="76"/>
  <c r="F182" i="76"/>
  <c r="F181" i="76"/>
  <c r="J180" i="76"/>
  <c r="J170" i="76" s="1"/>
  <c r="I180" i="76"/>
  <c r="H180" i="76"/>
  <c r="G180" i="76"/>
  <c r="F179" i="76"/>
  <c r="F178" i="76"/>
  <c r="F177" i="76"/>
  <c r="J176" i="76"/>
  <c r="I176" i="76"/>
  <c r="I171" i="76" s="1"/>
  <c r="H176" i="76"/>
  <c r="G176" i="76"/>
  <c r="F175" i="76"/>
  <c r="F174" i="76"/>
  <c r="F173" i="76"/>
  <c r="F172" i="76" s="1"/>
  <c r="J172" i="76"/>
  <c r="J171" i="76" s="1"/>
  <c r="I172" i="76"/>
  <c r="H172" i="76"/>
  <c r="G172" i="76"/>
  <c r="G171" i="76" s="1"/>
  <c r="G170" i="76" s="1"/>
  <c r="F169" i="76"/>
  <c r="F168" i="76"/>
  <c r="F167" i="76" s="1"/>
  <c r="J167" i="76"/>
  <c r="I167" i="76"/>
  <c r="H167" i="76"/>
  <c r="G167" i="76"/>
  <c r="F166" i="76"/>
  <c r="F165" i="76"/>
  <c r="F164" i="76"/>
  <c r="J163" i="76"/>
  <c r="I163" i="76"/>
  <c r="H163" i="76"/>
  <c r="G163" i="76"/>
  <c r="F162" i="76"/>
  <c r="F161" i="76"/>
  <c r="F160" i="76"/>
  <c r="J159" i="76"/>
  <c r="I159" i="76"/>
  <c r="H159" i="76"/>
  <c r="G159" i="76"/>
  <c r="F158" i="76"/>
  <c r="F157" i="76"/>
  <c r="F156" i="76" s="1"/>
  <c r="J156" i="76"/>
  <c r="I156" i="76"/>
  <c r="H156" i="76"/>
  <c r="G156" i="76"/>
  <c r="F153" i="76"/>
  <c r="F152" i="76"/>
  <c r="J151" i="76"/>
  <c r="I151" i="76"/>
  <c r="H151" i="76"/>
  <c r="G151" i="76"/>
  <c r="F150" i="76"/>
  <c r="F149" i="76"/>
  <c r="F148" i="76"/>
  <c r="F147" i="76"/>
  <c r="J146" i="76"/>
  <c r="J142" i="76" s="1"/>
  <c r="J141" i="76" s="1"/>
  <c r="I146" i="76"/>
  <c r="H146" i="76"/>
  <c r="G146" i="76"/>
  <c r="F145" i="76"/>
  <c r="F144" i="76"/>
  <c r="J143" i="76"/>
  <c r="I143" i="76"/>
  <c r="H143" i="76"/>
  <c r="G143" i="76"/>
  <c r="F140" i="76"/>
  <c r="F137" i="76" s="1"/>
  <c r="F139" i="76"/>
  <c r="F138" i="76"/>
  <c r="J137" i="76"/>
  <c r="I137" i="76"/>
  <c r="H137" i="76"/>
  <c r="G137" i="76"/>
  <c r="F136" i="76"/>
  <c r="F134" i="76" s="1"/>
  <c r="F135" i="76"/>
  <c r="J134" i="76"/>
  <c r="I134" i="76"/>
  <c r="H134" i="76"/>
  <c r="G134" i="76"/>
  <c r="F133" i="76"/>
  <c r="F132" i="76"/>
  <c r="F131" i="76"/>
  <c r="J130" i="76"/>
  <c r="I130" i="76"/>
  <c r="H130" i="76"/>
  <c r="G130" i="76"/>
  <c r="G129" i="76" s="1"/>
  <c r="J129" i="76"/>
  <c r="F127" i="76"/>
  <c r="F126" i="76"/>
  <c r="J125" i="76"/>
  <c r="I125" i="76"/>
  <c r="H125" i="76"/>
  <c r="G125" i="76"/>
  <c r="F124" i="76"/>
  <c r="F123" i="76"/>
  <c r="F122" i="76"/>
  <c r="F121" i="76"/>
  <c r="F120" i="76"/>
  <c r="F119" i="76"/>
  <c r="F118" i="76"/>
  <c r="F117" i="76"/>
  <c r="F116" i="76"/>
  <c r="F115" i="76"/>
  <c r="F114" i="76"/>
  <c r="F113" i="76"/>
  <c r="F112" i="76"/>
  <c r="F111" i="76"/>
  <c r="F110" i="76"/>
  <c r="F109" i="76"/>
  <c r="F108" i="76"/>
  <c r="F107" i="76"/>
  <c r="F106" i="76"/>
  <c r="F105" i="76"/>
  <c r="F104" i="76"/>
  <c r="F103" i="76"/>
  <c r="F102" i="76"/>
  <c r="F100" i="76" s="1"/>
  <c r="F101" i="76"/>
  <c r="J100" i="76"/>
  <c r="I100" i="76"/>
  <c r="H100" i="76"/>
  <c r="H92" i="76" s="1"/>
  <c r="H91" i="76" s="1"/>
  <c r="G100" i="76"/>
  <c r="F99" i="76"/>
  <c r="F98" i="76"/>
  <c r="F97" i="76"/>
  <c r="F96" i="76"/>
  <c r="F95" i="76"/>
  <c r="F94" i="76"/>
  <c r="J93" i="76"/>
  <c r="I93" i="76"/>
  <c r="H93" i="76"/>
  <c r="G93" i="76"/>
  <c r="G92" i="76" s="1"/>
  <c r="J92" i="76"/>
  <c r="J91" i="76" s="1"/>
  <c r="G91" i="76"/>
  <c r="F90" i="76"/>
  <c r="F89" i="76" s="1"/>
  <c r="J89" i="76"/>
  <c r="I89" i="76"/>
  <c r="H89" i="76"/>
  <c r="G89" i="76"/>
  <c r="F88" i="76"/>
  <c r="F87" i="76"/>
  <c r="J86" i="76"/>
  <c r="I86" i="76"/>
  <c r="H86" i="76"/>
  <c r="H76" i="76" s="1"/>
  <c r="G86" i="76"/>
  <c r="F85" i="76"/>
  <c r="F84" i="76"/>
  <c r="F83" i="76"/>
  <c r="F82" i="76"/>
  <c r="F81" i="76"/>
  <c r="F80" i="76"/>
  <c r="F79" i="76"/>
  <c r="F78" i="76"/>
  <c r="J77" i="76"/>
  <c r="I77" i="76"/>
  <c r="H77" i="76"/>
  <c r="G77" i="76"/>
  <c r="G76" i="76" s="1"/>
  <c r="G75" i="76" s="1"/>
  <c r="J76" i="76"/>
  <c r="J75" i="76"/>
  <c r="F74" i="76"/>
  <c r="F73" i="76"/>
  <c r="J72" i="76"/>
  <c r="I72" i="76"/>
  <c r="H72" i="76"/>
  <c r="G72" i="76"/>
  <c r="F71" i="76"/>
  <c r="F70" i="76"/>
  <c r="F69" i="76"/>
  <c r="F68" i="76"/>
  <c r="F67" i="76"/>
  <c r="F66" i="76"/>
  <c r="F65" i="76"/>
  <c r="F63" i="76" s="1"/>
  <c r="F64" i="76"/>
  <c r="J63" i="76"/>
  <c r="I63" i="76"/>
  <c r="I58" i="76" s="1"/>
  <c r="I57" i="76" s="1"/>
  <c r="H63" i="76"/>
  <c r="G63" i="76"/>
  <c r="F62" i="76"/>
  <c r="F61" i="76"/>
  <c r="F60" i="76"/>
  <c r="J59" i="76"/>
  <c r="I59" i="76"/>
  <c r="H59" i="76"/>
  <c r="G59" i="76"/>
  <c r="J58" i="76"/>
  <c r="G58" i="76"/>
  <c r="G57" i="76" s="1"/>
  <c r="J57" i="76"/>
  <c r="F56" i="76"/>
  <c r="J55" i="76"/>
  <c r="I55" i="76"/>
  <c r="H55" i="76"/>
  <c r="G55" i="76"/>
  <c r="F55" i="76"/>
  <c r="F54" i="76"/>
  <c r="F53" i="76"/>
  <c r="F52" i="76"/>
  <c r="F51" i="76"/>
  <c r="F50" i="76" s="1"/>
  <c r="J50" i="76"/>
  <c r="I50" i="76"/>
  <c r="H50" i="76"/>
  <c r="G50" i="76"/>
  <c r="F49" i="76"/>
  <c r="F48" i="76"/>
  <c r="F47" i="76"/>
  <c r="F46" i="76" s="1"/>
  <c r="J46" i="76"/>
  <c r="J45" i="76" s="1"/>
  <c r="J44" i="76" s="1"/>
  <c r="I46" i="76"/>
  <c r="I45" i="76" s="1"/>
  <c r="H46" i="76"/>
  <c r="G46" i="76"/>
  <c r="H45" i="76"/>
  <c r="H44" i="76" s="1"/>
  <c r="F43" i="76"/>
  <c r="F42" i="76"/>
  <c r="J41" i="76"/>
  <c r="I41" i="76"/>
  <c r="H41" i="76"/>
  <c r="G41" i="76"/>
  <c r="F40" i="76"/>
  <c r="F39" i="76"/>
  <c r="F38" i="76"/>
  <c r="F37" i="76"/>
  <c r="F36" i="76"/>
  <c r="F35" i="76"/>
  <c r="F34" i="76"/>
  <c r="F33" i="76"/>
  <c r="J32" i="76"/>
  <c r="I32" i="76"/>
  <c r="H32" i="76"/>
  <c r="G32" i="76"/>
  <c r="F31" i="76"/>
  <c r="F30" i="76"/>
  <c r="F29" i="76"/>
  <c r="F28" i="76"/>
  <c r="J27" i="76"/>
  <c r="I27" i="76"/>
  <c r="I26" i="76" s="1"/>
  <c r="I25" i="76" s="1"/>
  <c r="H27" i="76"/>
  <c r="H26" i="76" s="1"/>
  <c r="G27" i="76"/>
  <c r="G26" i="76" s="1"/>
  <c r="G25" i="76" s="1"/>
  <c r="F27" i="76"/>
  <c r="F24" i="76"/>
  <c r="F23" i="76"/>
  <c r="F22" i="76" s="1"/>
  <c r="J22" i="76"/>
  <c r="I22" i="76"/>
  <c r="H22" i="76"/>
  <c r="G22" i="76"/>
  <c r="F21" i="76"/>
  <c r="F20" i="76"/>
  <c r="F19" i="76"/>
  <c r="J18" i="76"/>
  <c r="I18" i="76"/>
  <c r="I17" i="76" s="1"/>
  <c r="H18" i="76"/>
  <c r="G18" i="76"/>
  <c r="G17" i="76" s="1"/>
  <c r="J17" i="76"/>
  <c r="F16" i="76"/>
  <c r="F15" i="76" s="1"/>
  <c r="J15" i="76"/>
  <c r="I15" i="76"/>
  <c r="H15" i="76"/>
  <c r="G15" i="76"/>
  <c r="F14" i="76"/>
  <c r="F13" i="76"/>
  <c r="F12" i="76"/>
  <c r="J11" i="76"/>
  <c r="J10" i="76" s="1"/>
  <c r="I11" i="76"/>
  <c r="H11" i="76"/>
  <c r="H10" i="76" s="1"/>
  <c r="G11" i="76"/>
  <c r="I10" i="76"/>
  <c r="G10" i="76"/>
  <c r="H948" i="76" l="1"/>
  <c r="I648" i="76"/>
  <c r="F192" i="76"/>
  <c r="F185" i="76"/>
  <c r="F539" i="76"/>
  <c r="F538" i="76" s="1"/>
  <c r="F291" i="76"/>
  <c r="H573" i="76"/>
  <c r="H572" i="76" s="1"/>
  <c r="I678" i="76"/>
  <c r="H171" i="76"/>
  <c r="H170" i="76" s="1"/>
  <c r="F234" i="76"/>
  <c r="G291" i="76"/>
  <c r="I340" i="76"/>
  <c r="F559" i="76"/>
  <c r="F552" i="76" s="1"/>
  <c r="F551" i="76" s="1"/>
  <c r="F671" i="76"/>
  <c r="I799" i="76"/>
  <c r="I798" i="76" s="1"/>
  <c r="H17" i="76"/>
  <c r="G45" i="76"/>
  <c r="G44" i="76" s="1"/>
  <c r="F86" i="76"/>
  <c r="H129" i="76"/>
  <c r="H128" i="76" s="1"/>
  <c r="F130" i="76"/>
  <c r="F129" i="76" s="1"/>
  <c r="F128" i="76" s="1"/>
  <c r="H246" i="76"/>
  <c r="H245" i="76" s="1"/>
  <c r="G341" i="76"/>
  <c r="J441" i="76"/>
  <c r="J440" i="76" s="1"/>
  <c r="I440" i="76"/>
  <c r="I769" i="76"/>
  <c r="I768" i="76" s="1"/>
  <c r="I948" i="76"/>
  <c r="I170" i="76"/>
  <c r="F184" i="76"/>
  <c r="H227" i="76"/>
  <c r="H303" i="76"/>
  <c r="H302" i="76" s="1"/>
  <c r="I463" i="76"/>
  <c r="H663" i="76"/>
  <c r="G963" i="76"/>
  <c r="H75" i="76"/>
  <c r="F11" i="76"/>
  <c r="F10" i="76" s="1"/>
  <c r="H58" i="76"/>
  <c r="H57" i="76" s="1"/>
  <c r="F59" i="76"/>
  <c r="F93" i="76"/>
  <c r="J155" i="76"/>
  <c r="J154" i="76" s="1"/>
  <c r="I155" i="76"/>
  <c r="I154" i="76" s="1"/>
  <c r="H198" i="76"/>
  <c r="H197" i="76" s="1"/>
  <c r="F337" i="76"/>
  <c r="F381" i="76"/>
  <c r="J415" i="76"/>
  <c r="F451" i="76"/>
  <c r="F481" i="76"/>
  <c r="F480" i="76" s="1"/>
  <c r="F479" i="76" s="1"/>
  <c r="G608" i="76"/>
  <c r="G607" i="76" s="1"/>
  <c r="F859" i="76"/>
  <c r="F896" i="76"/>
  <c r="J1023" i="76"/>
  <c r="F1058" i="76"/>
  <c r="F1274" i="76"/>
  <c r="F1273" i="76" s="1"/>
  <c r="F1271" i="76" s="1"/>
  <c r="F1340" i="76"/>
  <c r="J1339" i="76"/>
  <c r="J1338" i="76" s="1"/>
  <c r="F1378" i="76"/>
  <c r="F18" i="76"/>
  <c r="F17" i="76" s="1"/>
  <c r="H25" i="76"/>
  <c r="F41" i="76"/>
  <c r="F77" i="76"/>
  <c r="I129" i="76"/>
  <c r="I128" i="76" s="1"/>
  <c r="G128" i="76"/>
  <c r="H142" i="76"/>
  <c r="H141" i="76" s="1"/>
  <c r="F146" i="76"/>
  <c r="F180" i="76"/>
  <c r="F210" i="76"/>
  <c r="F219" i="76"/>
  <c r="F229" i="76"/>
  <c r="I303" i="76"/>
  <c r="I302" i="76" s="1"/>
  <c r="G340" i="76"/>
  <c r="F368" i="76"/>
  <c r="F377" i="76"/>
  <c r="G389" i="76"/>
  <c r="G388" i="76" s="1"/>
  <c r="H389" i="76"/>
  <c r="H388" i="76" s="1"/>
  <c r="H464" i="76"/>
  <c r="H463" i="76" s="1"/>
  <c r="F476" i="76"/>
  <c r="G480" i="76"/>
  <c r="G479" i="76" s="1"/>
  <c r="H516" i="76"/>
  <c r="H515" i="76" s="1"/>
  <c r="J551" i="76"/>
  <c r="J572" i="76"/>
  <c r="F612" i="76"/>
  <c r="H634" i="76"/>
  <c r="H633" i="76" s="1"/>
  <c r="F635" i="76"/>
  <c r="F634" i="76" s="1"/>
  <c r="G633" i="76"/>
  <c r="F695" i="76"/>
  <c r="F694" i="76" s="1"/>
  <c r="F693" i="76" s="1"/>
  <c r="F701" i="76"/>
  <c r="F713" i="76"/>
  <c r="F818" i="76"/>
  <c r="F814" i="76" s="1"/>
  <c r="F813" i="76" s="1"/>
  <c r="F829" i="76"/>
  <c r="H843" i="76"/>
  <c r="F905" i="76"/>
  <c r="F904" i="76" s="1"/>
  <c r="G933" i="76"/>
  <c r="G949" i="76"/>
  <c r="G1063" i="76"/>
  <c r="G1061" i="76" s="1"/>
  <c r="F1065" i="76"/>
  <c r="I1196" i="76"/>
  <c r="I1195" i="76" s="1"/>
  <c r="F1197" i="76"/>
  <c r="J1193" i="76"/>
  <c r="G1274" i="76"/>
  <c r="G1273" i="76" s="1"/>
  <c r="G1271" i="76" s="1"/>
  <c r="F1281" i="76"/>
  <c r="F1314" i="76"/>
  <c r="F1406" i="76"/>
  <c r="F1419" i="76"/>
  <c r="F1424" i="76"/>
  <c r="F1435" i="76"/>
  <c r="G1463" i="76"/>
  <c r="F1467" i="76"/>
  <c r="J1485" i="76"/>
  <c r="J1484" i="76" s="1"/>
  <c r="J1482" i="76" s="1"/>
  <c r="I44" i="76"/>
  <c r="I92" i="76"/>
  <c r="I91" i="76" s="1"/>
  <c r="F125" i="76"/>
  <c r="J128" i="76"/>
  <c r="G142" i="76"/>
  <c r="G141" i="76" s="1"/>
  <c r="F143" i="76"/>
  <c r="I142" i="76"/>
  <c r="I141" i="76" s="1"/>
  <c r="G155" i="76"/>
  <c r="G154" i="76" s="1"/>
  <c r="F176" i="76"/>
  <c r="H185" i="76"/>
  <c r="H184" i="76" s="1"/>
  <c r="J185" i="76"/>
  <c r="J184" i="76" s="1"/>
  <c r="F203" i="76"/>
  <c r="H214" i="76"/>
  <c r="H213" i="76" s="1"/>
  <c r="J245" i="76"/>
  <c r="F270" i="76"/>
  <c r="F269" i="76" s="1"/>
  <c r="F268" i="76" s="1"/>
  <c r="F288" i="76"/>
  <c r="F320" i="76"/>
  <c r="J341" i="76"/>
  <c r="J340" i="76" s="1"/>
  <c r="F373" i="76"/>
  <c r="F372" i="76" s="1"/>
  <c r="F371" i="76" s="1"/>
  <c r="F412" i="76"/>
  <c r="F417" i="76"/>
  <c r="F472" i="76"/>
  <c r="F464" i="76" s="1"/>
  <c r="I516" i="76"/>
  <c r="I515" i="76" s="1"/>
  <c r="G516" i="76"/>
  <c r="G515" i="76" s="1"/>
  <c r="F524" i="76"/>
  <c r="F516" i="76" s="1"/>
  <c r="F515" i="76" s="1"/>
  <c r="J607" i="76"/>
  <c r="F641" i="76"/>
  <c r="J664" i="76"/>
  <c r="J663" i="76" s="1"/>
  <c r="G724" i="76"/>
  <c r="G723" i="76" s="1"/>
  <c r="F731" i="76"/>
  <c r="F791" i="76"/>
  <c r="F800" i="76"/>
  <c r="F799" i="76" s="1"/>
  <c r="F798" i="76" s="1"/>
  <c r="I858" i="76"/>
  <c r="H903" i="76"/>
  <c r="F911" i="76"/>
  <c r="F964" i="76"/>
  <c r="F963" i="76" s="1"/>
  <c r="J963" i="76"/>
  <c r="G1086" i="76"/>
  <c r="G1076" i="76" s="1"/>
  <c r="F1087" i="76"/>
  <c r="F1086" i="76" s="1"/>
  <c r="F1117" i="76"/>
  <c r="G1247" i="76"/>
  <c r="G1246" i="76" s="1"/>
  <c r="H1423" i="76"/>
  <c r="H1422" i="76" s="1"/>
  <c r="F1431" i="76"/>
  <c r="G1502" i="76"/>
  <c r="F583" i="76"/>
  <c r="F604" i="76"/>
  <c r="J634" i="76"/>
  <c r="J633" i="76" s="1"/>
  <c r="G634" i="76"/>
  <c r="F653" i="76"/>
  <c r="F649" i="76" s="1"/>
  <c r="F648" i="76" s="1"/>
  <c r="G664" i="76"/>
  <c r="G663" i="76" s="1"/>
  <c r="F668" i="76"/>
  <c r="F664" i="76" s="1"/>
  <c r="F663" i="76" s="1"/>
  <c r="G679" i="76"/>
  <c r="G678" i="76" s="1"/>
  <c r="F680" i="76"/>
  <c r="F679" i="76" s="1"/>
  <c r="J694" i="76"/>
  <c r="J693" i="76" s="1"/>
  <c r="J709" i="76"/>
  <c r="J708" i="76" s="1"/>
  <c r="H724" i="76"/>
  <c r="H723" i="76" s="1"/>
  <c r="F725" i="76"/>
  <c r="F724" i="76" s="1"/>
  <c r="J723" i="76"/>
  <c r="G799" i="76"/>
  <c r="G798" i="76" s="1"/>
  <c r="I844" i="76"/>
  <c r="I843" i="76" s="1"/>
  <c r="G844" i="76"/>
  <c r="G843" i="76" s="1"/>
  <c r="F848" i="76"/>
  <c r="H859" i="76"/>
  <c r="H858" i="76" s="1"/>
  <c r="F881" i="76"/>
  <c r="F893" i="76"/>
  <c r="J904" i="76"/>
  <c r="J903" i="76" s="1"/>
  <c r="F938" i="76"/>
  <c r="G948" i="76"/>
  <c r="F956" i="76"/>
  <c r="G1009" i="76"/>
  <c r="G1008" i="76" s="1"/>
  <c r="F1010" i="76"/>
  <c r="F1009" i="76" s="1"/>
  <c r="F1008" i="76" s="1"/>
  <c r="H1009" i="76"/>
  <c r="H1008" i="76" s="1"/>
  <c r="G1024" i="76"/>
  <c r="G1023" i="76" s="1"/>
  <c r="J1041" i="76"/>
  <c r="J1040" i="76" s="1"/>
  <c r="J1038" i="76" s="1"/>
  <c r="G1051" i="76"/>
  <c r="G1050" i="76" s="1"/>
  <c r="G1102" i="76"/>
  <c r="G1101" i="76" s="1"/>
  <c r="F1190" i="76"/>
  <c r="G1208" i="76"/>
  <c r="G1193" i="76" s="1"/>
  <c r="F1224" i="76"/>
  <c r="H1247" i="76"/>
  <c r="H1246" i="76" s="1"/>
  <c r="F1250" i="76"/>
  <c r="F1277" i="76"/>
  <c r="F1335" i="76"/>
  <c r="F1399" i="76"/>
  <c r="I1423" i="76"/>
  <c r="I1422" i="76" s="1"/>
  <c r="G1462" i="76"/>
  <c r="G1485" i="76"/>
  <c r="G1484" i="76" s="1"/>
  <c r="G1482" i="76" s="1"/>
  <c r="I694" i="76"/>
  <c r="I693" i="76" s="1"/>
  <c r="I723" i="76"/>
  <c r="I739" i="76"/>
  <c r="I738" i="76" s="1"/>
  <c r="F761" i="76"/>
  <c r="G768" i="76"/>
  <c r="F770" i="76"/>
  <c r="F769" i="76" s="1"/>
  <c r="F768" i="76" s="1"/>
  <c r="H769" i="76"/>
  <c r="H768" i="76" s="1"/>
  <c r="H783" i="76"/>
  <c r="F784" i="76"/>
  <c r="I784" i="76"/>
  <c r="I783" i="76" s="1"/>
  <c r="F821" i="76"/>
  <c r="F836" i="76"/>
  <c r="J844" i="76"/>
  <c r="J843" i="76" s="1"/>
  <c r="J874" i="76"/>
  <c r="J873" i="76" s="1"/>
  <c r="H874" i="76"/>
  <c r="H873" i="76" s="1"/>
  <c r="G889" i="76"/>
  <c r="G888" i="76" s="1"/>
  <c r="F890" i="76"/>
  <c r="I889" i="76"/>
  <c r="I919" i="76"/>
  <c r="I918" i="76" s="1"/>
  <c r="J934" i="76"/>
  <c r="J933" i="76" s="1"/>
  <c r="J949" i="76"/>
  <c r="J948" i="76" s="1"/>
  <c r="I979" i="76"/>
  <c r="I978" i="76" s="1"/>
  <c r="H994" i="76"/>
  <c r="H993" i="76" s="1"/>
  <c r="F994" i="76"/>
  <c r="F1001" i="76"/>
  <c r="F1016" i="76"/>
  <c r="G1041" i="76"/>
  <c r="J1051" i="76"/>
  <c r="J1050" i="76" s="1"/>
  <c r="H1051" i="76"/>
  <c r="H1050" i="76" s="1"/>
  <c r="H1038" i="76" s="1"/>
  <c r="I1148" i="76"/>
  <c r="I1147" i="76" s="1"/>
  <c r="F1152" i="76"/>
  <c r="F1210" i="76"/>
  <c r="F1228" i="76"/>
  <c r="F1243" i="76"/>
  <c r="I1246" i="76"/>
  <c r="J1247" i="76"/>
  <c r="J1246" i="76" s="1"/>
  <c r="J1274" i="76"/>
  <c r="J1273" i="76" s="1"/>
  <c r="J1271" i="76" s="1"/>
  <c r="F1300" i="76"/>
  <c r="J1313" i="76"/>
  <c r="J1312" i="76" s="1"/>
  <c r="I1367" i="76"/>
  <c r="I1366" i="76" s="1"/>
  <c r="G1367" i="76"/>
  <c r="G1366" i="76" s="1"/>
  <c r="F1371" i="76"/>
  <c r="F1367" i="76" s="1"/>
  <c r="F1366" i="76" s="1"/>
  <c r="H1395" i="76"/>
  <c r="H1394" i="76" s="1"/>
  <c r="F1443" i="76"/>
  <c r="I1463" i="76"/>
  <c r="I1462" i="76" s="1"/>
  <c r="I1284" i="76" s="1"/>
  <c r="F76" i="76"/>
  <c r="F75" i="76" s="1"/>
  <c r="F463" i="76"/>
  <c r="F678" i="76"/>
  <c r="J26" i="76"/>
  <c r="J25" i="76" s="1"/>
  <c r="F171" i="76"/>
  <c r="F303" i="76"/>
  <c r="F302" i="76" s="1"/>
  <c r="F608" i="76"/>
  <c r="F607" i="76" s="1"/>
  <c r="F844" i="76"/>
  <c r="F843" i="76" s="1"/>
  <c r="I1038" i="76"/>
  <c r="F45" i="76"/>
  <c r="F44" i="76" s="1"/>
  <c r="F58" i="76"/>
  <c r="F92" i="76"/>
  <c r="F91" i="76" s="1"/>
  <c r="F1196" i="76"/>
  <c r="F1195" i="76" s="1"/>
  <c r="I76" i="76"/>
  <c r="I75" i="76" s="1"/>
  <c r="I8" i="76" s="1"/>
  <c r="F1078" i="76"/>
  <c r="F1102" i="76"/>
  <c r="F1101" i="76" s="1"/>
  <c r="F1395" i="76"/>
  <c r="F1394" i="76" s="1"/>
  <c r="F32" i="76"/>
  <c r="G198" i="76"/>
  <c r="G197" i="76" s="1"/>
  <c r="F199" i="76"/>
  <c r="F198" i="76" s="1"/>
  <c r="F197" i="76" s="1"/>
  <c r="G214" i="76"/>
  <c r="G213" i="76" s="1"/>
  <c r="F215" i="76"/>
  <c r="F214" i="76" s="1"/>
  <c r="F247" i="76"/>
  <c r="F246" i="76" s="1"/>
  <c r="F245" i="76" s="1"/>
  <c r="F390" i="76"/>
  <c r="F389" i="76" s="1"/>
  <c r="F388" i="76" s="1"/>
  <c r="H552" i="76"/>
  <c r="H551" i="76" s="1"/>
  <c r="J648" i="76"/>
  <c r="I828" i="76"/>
  <c r="I888" i="76"/>
  <c r="G1040" i="76"/>
  <c r="H1064" i="76"/>
  <c r="H1063" i="76" s="1"/>
  <c r="H1061" i="76" s="1"/>
  <c r="I1102" i="76"/>
  <c r="I1101" i="76" s="1"/>
  <c r="I1076" i="76" s="1"/>
  <c r="H1209" i="76"/>
  <c r="H1208" i="76" s="1"/>
  <c r="H1193" i="76" s="1"/>
  <c r="F1209" i="76"/>
  <c r="G1313" i="76"/>
  <c r="G1312" i="76" s="1"/>
  <c r="J1395" i="76"/>
  <c r="J1394" i="76" s="1"/>
  <c r="J1284" i="76" s="1"/>
  <c r="J1438" i="76"/>
  <c r="I1485" i="76"/>
  <c r="I1484" i="76" s="1"/>
  <c r="I1482" i="76" s="1"/>
  <c r="H155" i="76"/>
  <c r="H154" i="76" s="1"/>
  <c r="F163" i="76"/>
  <c r="F342" i="76"/>
  <c r="F341" i="76" s="1"/>
  <c r="F340" i="76" s="1"/>
  <c r="F426" i="76"/>
  <c r="F416" i="76" s="1"/>
  <c r="F415" i="76" s="1"/>
  <c r="G573" i="76"/>
  <c r="G572" i="76" s="1"/>
  <c r="F574" i="76"/>
  <c r="F573" i="76" s="1"/>
  <c r="F572" i="76" s="1"/>
  <c r="I634" i="76"/>
  <c r="I633" i="76" s="1"/>
  <c r="G783" i="76"/>
  <c r="G631" i="76" s="1"/>
  <c r="H813" i="76"/>
  <c r="I873" i="76"/>
  <c r="J888" i="76"/>
  <c r="F923" i="76"/>
  <c r="F919" i="76" s="1"/>
  <c r="F918" i="76" s="1"/>
  <c r="F935" i="76"/>
  <c r="I1064" i="76"/>
  <c r="I1063" i="76" s="1"/>
  <c r="I1061" i="76" s="1"/>
  <c r="F1072" i="76"/>
  <c r="H1102" i="76"/>
  <c r="H1101" i="76" s="1"/>
  <c r="F1247" i="76"/>
  <c r="F1246" i="76" s="1"/>
  <c r="F1287" i="76"/>
  <c r="G1287" i="76"/>
  <c r="G1286" i="76" s="1"/>
  <c r="F72" i="76"/>
  <c r="F151" i="76"/>
  <c r="F159" i="76"/>
  <c r="F223" i="76"/>
  <c r="G441" i="76"/>
  <c r="G440" i="76" s="1"/>
  <c r="F442" i="76"/>
  <c r="F441" i="76" s="1"/>
  <c r="F440" i="76" s="1"/>
  <c r="F754" i="76"/>
  <c r="F753" i="76" s="1"/>
  <c r="F1041" i="76"/>
  <c r="F1040" i="76" s="1"/>
  <c r="F1055" i="76"/>
  <c r="F1051" i="76" s="1"/>
  <c r="F1068" i="76"/>
  <c r="H1076" i="76"/>
  <c r="H1313" i="76"/>
  <c r="H1312" i="76" s="1"/>
  <c r="F1326" i="76"/>
  <c r="F686" i="76"/>
  <c r="F926" i="76"/>
  <c r="F1148" i="76"/>
  <c r="F1147" i="76" s="1"/>
  <c r="H1274" i="76"/>
  <c r="H1273" i="76" s="1"/>
  <c r="H1271" i="76" s="1"/>
  <c r="F1339" i="76"/>
  <c r="F1338" i="76" s="1"/>
  <c r="F1502" i="76"/>
  <c r="F710" i="76"/>
  <c r="F866" i="76"/>
  <c r="F858" i="76" s="1"/>
  <c r="F878" i="76"/>
  <c r="F874" i="76" s="1"/>
  <c r="F873" i="76" s="1"/>
  <c r="F950" i="76"/>
  <c r="F949" i="76" s="1"/>
  <c r="F1219" i="76"/>
  <c r="F1452" i="76"/>
  <c r="F1439" i="76" s="1"/>
  <c r="F1438" i="76" s="1"/>
  <c r="F1474" i="76"/>
  <c r="F1463" i="76" s="1"/>
  <c r="F1462" i="76" s="1"/>
  <c r="J1086" i="76"/>
  <c r="J1076" i="76" s="1"/>
  <c r="F1106" i="76"/>
  <c r="F1309" i="76"/>
  <c r="F1317" i="76"/>
  <c r="F1313" i="76" s="1"/>
  <c r="F1312" i="76" s="1"/>
  <c r="H1367" i="76"/>
  <c r="H1366" i="76" s="1"/>
  <c r="H1463" i="76"/>
  <c r="H1462" i="76" s="1"/>
  <c r="F1486" i="76"/>
  <c r="F948" i="76" l="1"/>
  <c r="J8" i="76"/>
  <c r="F1064" i="76"/>
  <c r="F1063" i="76" s="1"/>
  <c r="F1061" i="76" s="1"/>
  <c r="H8" i="76"/>
  <c r="G8" i="76"/>
  <c r="F170" i="76"/>
  <c r="F1227" i="76"/>
  <c r="F903" i="76"/>
  <c r="F633" i="76"/>
  <c r="F631" i="76" s="1"/>
  <c r="F228" i="76"/>
  <c r="F227" i="76" s="1"/>
  <c r="F142" i="76"/>
  <c r="F141" i="76" s="1"/>
  <c r="F709" i="76"/>
  <c r="F708" i="76" s="1"/>
  <c r="F1050" i="76"/>
  <c r="J631" i="76"/>
  <c r="F993" i="76"/>
  <c r="F783" i="76"/>
  <c r="F889" i="76"/>
  <c r="F888" i="76" s="1"/>
  <c r="F723" i="76"/>
  <c r="F934" i="76"/>
  <c r="F933" i="76" s="1"/>
  <c r="H1284" i="76"/>
  <c r="F1208" i="76"/>
  <c r="F1193" i="76" s="1"/>
  <c r="G1038" i="76"/>
  <c r="F1423" i="76"/>
  <c r="F1422" i="76" s="1"/>
  <c r="I1193" i="76"/>
  <c r="F828" i="76"/>
  <c r="J1505" i="76"/>
  <c r="F1038" i="76"/>
  <c r="H631" i="76"/>
  <c r="F26" i="76"/>
  <c r="F25" i="76" s="1"/>
  <c r="F57" i="76"/>
  <c r="F1485" i="76"/>
  <c r="F1484" i="76" s="1"/>
  <c r="F1482" i="76" s="1"/>
  <c r="F1286" i="76"/>
  <c r="F1284" i="76" s="1"/>
  <c r="G1284" i="76"/>
  <c r="I631" i="76"/>
  <c r="I1505" i="76" s="1"/>
  <c r="F213" i="76"/>
  <c r="F1076" i="76"/>
  <c r="F155" i="76"/>
  <c r="F154" i="76" s="1"/>
  <c r="G1505" i="76" l="1"/>
  <c r="F8" i="76"/>
  <c r="F1505" i="76" s="1"/>
  <c r="H1505" i="76"/>
  <c r="E47" i="54" l="1"/>
  <c r="H16" i="54"/>
  <c r="F10" i="75" l="1"/>
  <c r="E10" i="75"/>
  <c r="D9" i="75"/>
  <c r="D10" i="75" s="1"/>
  <c r="D8" i="75"/>
  <c r="F40" i="74"/>
  <c r="E40" i="74"/>
  <c r="D39" i="74"/>
  <c r="D38" i="74"/>
  <c r="D37" i="74"/>
  <c r="D36" i="74"/>
  <c r="D35" i="74"/>
  <c r="D34" i="74"/>
  <c r="D33" i="74"/>
  <c r="D32" i="74"/>
  <c r="D40" i="74" s="1"/>
  <c r="F27" i="74"/>
  <c r="E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8" i="74"/>
  <c r="D7" i="74"/>
  <c r="F14" i="73"/>
  <c r="E14" i="73"/>
  <c r="D13" i="73"/>
  <c r="D14" i="73" s="1"/>
  <c r="F8" i="73"/>
  <c r="E8" i="73"/>
  <c r="D7" i="73"/>
  <c r="D8" i="73" s="1"/>
  <c r="D27" i="74" l="1"/>
  <c r="E7" i="41"/>
  <c r="G22" i="55"/>
  <c r="F22" i="55"/>
  <c r="E22" i="55" l="1"/>
  <c r="D185" i="72"/>
  <c r="F28" i="72"/>
  <c r="E27" i="72"/>
  <c r="E26" i="72"/>
  <c r="E25" i="72" s="1"/>
  <c r="G25" i="72"/>
  <c r="F25" i="72"/>
  <c r="E24" i="72"/>
  <c r="E23" i="72"/>
  <c r="E22" i="72" s="1"/>
  <c r="E21" i="72" s="1"/>
  <c r="E28" i="72" s="1"/>
  <c r="G22" i="72"/>
  <c r="G21" i="72" s="1"/>
  <c r="F22" i="72"/>
  <c r="F21" i="72"/>
  <c r="E20" i="72"/>
  <c r="E19" i="72"/>
  <c r="E18" i="72" s="1"/>
  <c r="E17" i="72" s="1"/>
  <c r="G18" i="72"/>
  <c r="F18" i="72"/>
  <c r="G17" i="72"/>
  <c r="F17" i="72"/>
  <c r="E16" i="72"/>
  <c r="E15" i="72"/>
  <c r="E14" i="72" s="1"/>
  <c r="E13" i="72" s="1"/>
  <c r="G14" i="72"/>
  <c r="G13" i="72" s="1"/>
  <c r="F14" i="72"/>
  <c r="F13" i="72"/>
  <c r="E12" i="72"/>
  <c r="E11" i="72"/>
  <c r="E10" i="72" s="1"/>
  <c r="E9" i="72" s="1"/>
  <c r="G10" i="72"/>
  <c r="F10" i="72"/>
  <c r="G9" i="72"/>
  <c r="F9" i="72"/>
  <c r="E8" i="72"/>
  <c r="E7" i="72"/>
  <c r="E6" i="72" s="1"/>
  <c r="E5" i="72" s="1"/>
  <c r="G6" i="72"/>
  <c r="G5" i="72" s="1"/>
  <c r="F6" i="72"/>
  <c r="F5" i="72"/>
  <c r="E238" i="71"/>
  <c r="G99" i="71"/>
  <c r="F99" i="71"/>
  <c r="E99" i="71" s="1"/>
  <c r="G98" i="71"/>
  <c r="F98" i="71"/>
  <c r="E98" i="71" s="1"/>
  <c r="G97" i="71"/>
  <c r="F97" i="71"/>
  <c r="E97" i="71"/>
  <c r="G96" i="71"/>
  <c r="F96" i="71" s="1"/>
  <c r="E96" i="71" s="1"/>
  <c r="G95" i="71"/>
  <c r="F95" i="71"/>
  <c r="E95" i="71" s="1"/>
  <c r="G94" i="71"/>
  <c r="F94" i="71"/>
  <c r="E94" i="71"/>
  <c r="G93" i="71"/>
  <c r="F93" i="71"/>
  <c r="E93" i="71"/>
  <c r="G92" i="71"/>
  <c r="F92" i="71" s="1"/>
  <c r="E92" i="71" s="1"/>
  <c r="G91" i="71"/>
  <c r="F91" i="71"/>
  <c r="E91" i="71" s="1"/>
  <c r="G90" i="71"/>
  <c r="F90" i="71"/>
  <c r="E90" i="71"/>
  <c r="G89" i="71"/>
  <c r="F89" i="71"/>
  <c r="E89" i="71"/>
  <c r="G88" i="71"/>
  <c r="F88" i="71" s="1"/>
  <c r="E88" i="71" s="1"/>
  <c r="G87" i="71"/>
  <c r="F87" i="71" s="1"/>
  <c r="E87" i="71" s="1"/>
  <c r="G86" i="71"/>
  <c r="F86" i="71"/>
  <c r="E86" i="71"/>
  <c r="G85" i="71"/>
  <c r="F85" i="71"/>
  <c r="E85" i="71"/>
  <c r="G84" i="71"/>
  <c r="F84" i="71" s="1"/>
  <c r="E84" i="71" s="1"/>
  <c r="G83" i="71"/>
  <c r="F83" i="71"/>
  <c r="E83" i="71" s="1"/>
  <c r="F82" i="71"/>
  <c r="E82" i="71"/>
  <c r="L81" i="71"/>
  <c r="K81" i="71"/>
  <c r="J81" i="71"/>
  <c r="I81" i="71"/>
  <c r="I80" i="71" s="1"/>
  <c r="H81" i="71"/>
  <c r="K80" i="71"/>
  <c r="K100" i="71" s="1"/>
  <c r="G79" i="71"/>
  <c r="F79" i="71"/>
  <c r="E79" i="71"/>
  <c r="G78" i="71"/>
  <c r="F78" i="71"/>
  <c r="E78" i="71"/>
  <c r="F77" i="71"/>
  <c r="E77" i="71" s="1"/>
  <c r="K76" i="71"/>
  <c r="I76" i="71"/>
  <c r="I75" i="71" s="1"/>
  <c r="H76" i="71"/>
  <c r="K75" i="71"/>
  <c r="G74" i="71"/>
  <c r="F74" i="71"/>
  <c r="E74" i="71"/>
  <c r="G73" i="71"/>
  <c r="F73" i="71"/>
  <c r="E73" i="71"/>
  <c r="I72" i="71"/>
  <c r="H72" i="71"/>
  <c r="G71" i="71"/>
  <c r="F71" i="71"/>
  <c r="E71" i="71"/>
  <c r="E70" i="71"/>
  <c r="L69" i="71"/>
  <c r="H69" i="71"/>
  <c r="G68" i="71"/>
  <c r="F68" i="71"/>
  <c r="E68" i="71" s="1"/>
  <c r="G67" i="71"/>
  <c r="F67" i="71"/>
  <c r="E67" i="71" s="1"/>
  <c r="G66" i="71"/>
  <c r="F66" i="71"/>
  <c r="E66" i="71"/>
  <c r="G65" i="71"/>
  <c r="F65" i="71" s="1"/>
  <c r="E65" i="71" s="1"/>
  <c r="G64" i="71"/>
  <c r="F64" i="71"/>
  <c r="E64" i="71" s="1"/>
  <c r="G63" i="71"/>
  <c r="F63" i="71" s="1"/>
  <c r="E63" i="71" s="1"/>
  <c r="G62" i="71"/>
  <c r="F62" i="71"/>
  <c r="E62" i="71" s="1"/>
  <c r="G61" i="71"/>
  <c r="F61" i="71" s="1"/>
  <c r="E61" i="71"/>
  <c r="I60" i="71"/>
  <c r="H60" i="71"/>
  <c r="G59" i="71"/>
  <c r="F59" i="71" s="1"/>
  <c r="E59" i="71" s="1"/>
  <c r="G58" i="71"/>
  <c r="F58" i="71"/>
  <c r="E58" i="71" s="1"/>
  <c r="G57" i="71"/>
  <c r="F57" i="71" s="1"/>
  <c r="E57" i="71" s="1"/>
  <c r="G56" i="71"/>
  <c r="F56" i="71"/>
  <c r="E56" i="71" s="1"/>
  <c r="G55" i="71"/>
  <c r="F55" i="71" s="1"/>
  <c r="E55" i="71"/>
  <c r="I54" i="71"/>
  <c r="I49" i="71" s="1"/>
  <c r="H54" i="71"/>
  <c r="G53" i="71"/>
  <c r="F53" i="71" s="1"/>
  <c r="E53" i="71" s="1"/>
  <c r="G52" i="71"/>
  <c r="F52" i="71"/>
  <c r="E52" i="71" s="1"/>
  <c r="G51" i="71"/>
  <c r="F51" i="71" s="1"/>
  <c r="E51" i="71" s="1"/>
  <c r="I50" i="71"/>
  <c r="H50" i="71"/>
  <c r="G50" i="71" s="1"/>
  <c r="F50" i="71" s="1"/>
  <c r="E50" i="71" s="1"/>
  <c r="H49" i="71"/>
  <c r="G49" i="71" s="1"/>
  <c r="F49" i="71" s="1"/>
  <c r="E49" i="71" s="1"/>
  <c r="G48" i="71"/>
  <c r="F48" i="71"/>
  <c r="E48" i="71" s="1"/>
  <c r="L47" i="71"/>
  <c r="I47" i="71"/>
  <c r="G47" i="71"/>
  <c r="F47" i="71" s="1"/>
  <c r="E47" i="71"/>
  <c r="G46" i="71"/>
  <c r="F46" i="71"/>
  <c r="E46" i="71" s="1"/>
  <c r="H43" i="71"/>
  <c r="G43" i="71"/>
  <c r="F43" i="71" s="1"/>
  <c r="E43" i="71" s="1"/>
  <c r="H42" i="71"/>
  <c r="H40" i="71" s="1"/>
  <c r="G42" i="71"/>
  <c r="F42" i="71"/>
  <c r="E42" i="71" s="1"/>
  <c r="H41" i="71"/>
  <c r="G41" i="71"/>
  <c r="F41" i="71"/>
  <c r="E41" i="71" s="1"/>
  <c r="I40" i="71"/>
  <c r="I39" i="71" s="1"/>
  <c r="L39" i="71"/>
  <c r="L100" i="71" s="1"/>
  <c r="G38" i="71"/>
  <c r="F38" i="71"/>
  <c r="E38" i="71"/>
  <c r="G37" i="71"/>
  <c r="F37" i="71" s="1"/>
  <c r="E37" i="71" s="1"/>
  <c r="G36" i="71"/>
  <c r="F36" i="71"/>
  <c r="E36" i="71" s="1"/>
  <c r="I35" i="71"/>
  <c r="I34" i="71" s="1"/>
  <c r="G34" i="71" s="1"/>
  <c r="F34" i="71" s="1"/>
  <c r="E34" i="71" s="1"/>
  <c r="H35" i="71"/>
  <c r="H34" i="71" s="1"/>
  <c r="L34" i="71"/>
  <c r="G33" i="71"/>
  <c r="F33" i="71"/>
  <c r="E33" i="71"/>
  <c r="G32" i="71"/>
  <c r="F32" i="71" s="1"/>
  <c r="E32" i="71" s="1"/>
  <c r="G31" i="71"/>
  <c r="F31" i="71"/>
  <c r="E31" i="71" s="1"/>
  <c r="G30" i="71"/>
  <c r="F30" i="71" s="1"/>
  <c r="E30" i="71" s="1"/>
  <c r="I29" i="71"/>
  <c r="H29" i="71"/>
  <c r="G29" i="71" s="1"/>
  <c r="F29" i="71" s="1"/>
  <c r="E29" i="71" s="1"/>
  <c r="F28" i="71"/>
  <c r="E28" i="71"/>
  <c r="J27" i="71"/>
  <c r="I27" i="71"/>
  <c r="G26" i="71"/>
  <c r="F26" i="71"/>
  <c r="E26" i="71"/>
  <c r="G25" i="71"/>
  <c r="F25" i="71"/>
  <c r="E25" i="71"/>
  <c r="G24" i="71"/>
  <c r="F24" i="71" s="1"/>
  <c r="E24" i="71" s="1"/>
  <c r="L23" i="71"/>
  <c r="I23" i="71"/>
  <c r="I6" i="71" s="1"/>
  <c r="H23" i="71"/>
  <c r="E22" i="71"/>
  <c r="G21" i="71"/>
  <c r="F21" i="71"/>
  <c r="E21" i="71"/>
  <c r="G20" i="71"/>
  <c r="F20" i="71"/>
  <c r="E20" i="71"/>
  <c r="G19" i="71"/>
  <c r="F19" i="71" s="1"/>
  <c r="E19" i="71"/>
  <c r="G18" i="71"/>
  <c r="F18" i="71"/>
  <c r="E18" i="71" s="1"/>
  <c r="G17" i="71"/>
  <c r="F17" i="71"/>
  <c r="E17" i="71" s="1"/>
  <c r="G16" i="71"/>
  <c r="F16" i="71"/>
  <c r="E16" i="71"/>
  <c r="G15" i="71"/>
  <c r="F15" i="71" s="1"/>
  <c r="E15" i="71"/>
  <c r="G14" i="71"/>
  <c r="F14" i="71"/>
  <c r="E14" i="71" s="1"/>
  <c r="G13" i="71"/>
  <c r="F13" i="71"/>
  <c r="E13" i="71"/>
  <c r="G12" i="71"/>
  <c r="F12" i="71"/>
  <c r="E12" i="71"/>
  <c r="G11" i="71"/>
  <c r="F11" i="71" s="1"/>
  <c r="E11" i="71"/>
  <c r="G10" i="71"/>
  <c r="F10" i="71"/>
  <c r="E10" i="71" s="1"/>
  <c r="G9" i="71"/>
  <c r="F9" i="71"/>
  <c r="E9" i="71" s="1"/>
  <c r="F8" i="71"/>
  <c r="E8" i="71"/>
  <c r="L7" i="71"/>
  <c r="L6" i="71" s="1"/>
  <c r="K7" i="71"/>
  <c r="I7" i="71"/>
  <c r="H7" i="71"/>
  <c r="H6" i="71" s="1"/>
  <c r="G6" i="71" s="1"/>
  <c r="G7" i="71"/>
  <c r="F7" i="71" s="1"/>
  <c r="K6" i="71"/>
  <c r="J6" i="71"/>
  <c r="D162" i="70"/>
  <c r="E44" i="70"/>
  <c r="E43" i="70" s="1"/>
  <c r="E41" i="70"/>
  <c r="E40" i="70"/>
  <c r="E38" i="70"/>
  <c r="E36" i="70"/>
  <c r="E34" i="70"/>
  <c r="E33" i="70"/>
  <c r="E31" i="70"/>
  <c r="E29" i="70"/>
  <c r="E27" i="70"/>
  <c r="E26" i="70"/>
  <c r="E24" i="70"/>
  <c r="E22" i="70"/>
  <c r="E21" i="70"/>
  <c r="E19" i="70"/>
  <c r="E18" i="70" s="1"/>
  <c r="E16" i="70"/>
  <c r="E14" i="70"/>
  <c r="E13" i="70"/>
  <c r="E11" i="70"/>
  <c r="E8" i="70"/>
  <c r="E7" i="70"/>
  <c r="H39" i="71" l="1"/>
  <c r="G39" i="71" s="1"/>
  <c r="F39" i="71" s="1"/>
  <c r="E39" i="71" s="1"/>
  <c r="G40" i="71"/>
  <c r="F40" i="71" s="1"/>
  <c r="E46" i="70"/>
  <c r="E7" i="71"/>
  <c r="E6" i="71" s="1"/>
  <c r="G28" i="72"/>
  <c r="H27" i="71"/>
  <c r="G27" i="71" s="1"/>
  <c r="F27" i="71" s="1"/>
  <c r="E27" i="71" s="1"/>
  <c r="G76" i="71"/>
  <c r="F76" i="71" s="1"/>
  <c r="H75" i="71"/>
  <c r="G35" i="71"/>
  <c r="F35" i="71" s="1"/>
  <c r="E35" i="71" s="1"/>
  <c r="G72" i="71"/>
  <c r="F72" i="71" s="1"/>
  <c r="E72" i="71" s="1"/>
  <c r="E69" i="71" s="1"/>
  <c r="I69" i="71"/>
  <c r="G69" i="71" s="1"/>
  <c r="I100" i="71"/>
  <c r="G23" i="71"/>
  <c r="F23" i="71" s="1"/>
  <c r="E23" i="71" s="1"/>
  <c r="J100" i="71"/>
  <c r="G54" i="71"/>
  <c r="F54" i="71" s="1"/>
  <c r="E54" i="71" s="1"/>
  <c r="G60" i="71"/>
  <c r="F60" i="71" s="1"/>
  <c r="E60" i="71" s="1"/>
  <c r="G81" i="71"/>
  <c r="F81" i="71" s="1"/>
  <c r="E81" i="71" s="1"/>
  <c r="H80" i="71"/>
  <c r="G80" i="71" s="1"/>
  <c r="F80" i="71" s="1"/>
  <c r="E80" i="71" s="1"/>
  <c r="F69" i="71" l="1"/>
  <c r="G75" i="71"/>
  <c r="G100" i="71" s="1"/>
  <c r="H100" i="71"/>
  <c r="F75" i="71"/>
  <c r="E76" i="71"/>
  <c r="F6" i="71"/>
  <c r="F100" i="71" l="1"/>
  <c r="E75" i="71"/>
  <c r="E100" i="71" s="1"/>
  <c r="F7" i="41" l="1"/>
  <c r="G7" i="41"/>
  <c r="G14" i="41"/>
  <c r="F14" i="41"/>
  <c r="F17" i="41" s="1"/>
  <c r="E16" i="41"/>
  <c r="H36" i="54"/>
  <c r="G40" i="54" l="1"/>
  <c r="J44" i="54" l="1"/>
  <c r="E10" i="41"/>
  <c r="E8" i="41" l="1"/>
  <c r="J6" i="69" l="1"/>
  <c r="F14" i="37" l="1"/>
  <c r="F27" i="37"/>
  <c r="J10" i="69" l="1"/>
  <c r="J9" i="69" s="1"/>
  <c r="J13" i="69" s="1"/>
  <c r="H19" i="69"/>
  <c r="I19" i="69"/>
  <c r="I24" i="69" s="1"/>
  <c r="J19" i="69"/>
  <c r="K19" i="69"/>
  <c r="G20" i="69"/>
  <c r="F20" i="69" s="1"/>
  <c r="F19" i="69" s="1"/>
  <c r="H21" i="69"/>
  <c r="I21" i="69"/>
  <c r="J21" i="69"/>
  <c r="J24" i="69" s="1"/>
  <c r="K21" i="69"/>
  <c r="K24" i="69" s="1"/>
  <c r="G22" i="69"/>
  <c r="F22" i="69" s="1"/>
  <c r="F21" i="69" s="1"/>
  <c r="F24" i="69" s="1"/>
  <c r="G23" i="69"/>
  <c r="F23" i="69" s="1"/>
  <c r="H24" i="69"/>
  <c r="G19" i="69" l="1"/>
  <c r="G21" i="69"/>
  <c r="G24" i="69" l="1"/>
  <c r="E11" i="41" l="1"/>
  <c r="E9" i="41" l="1"/>
  <c r="F12" i="41" l="1"/>
  <c r="G12" i="41"/>
  <c r="E13" i="41"/>
  <c r="E12" i="41" l="1"/>
  <c r="E15" i="41" l="1"/>
  <c r="E14" i="41" s="1"/>
  <c r="E17" i="41" s="1"/>
  <c r="C17" i="44" l="1"/>
  <c r="C7" i="44"/>
  <c r="C4" i="44" l="1"/>
  <c r="D4" i="44"/>
  <c r="D7" i="44"/>
  <c r="C15" i="44"/>
  <c r="D15" i="44"/>
  <c r="D17" i="44"/>
  <c r="C22" i="44"/>
  <c r="D22" i="44"/>
  <c r="F7" i="42"/>
  <c r="F9" i="42" s="1"/>
  <c r="G7" i="42"/>
  <c r="G9" i="42" s="1"/>
  <c r="E8" i="42"/>
  <c r="E7" i="42" s="1"/>
  <c r="E9" i="42" s="1"/>
  <c r="E7" i="40"/>
  <c r="F17" i="37"/>
  <c r="C24" i="44" l="1"/>
  <c r="D24" i="44"/>
</calcChain>
</file>

<file path=xl/sharedStrings.xml><?xml version="1.0" encoding="utf-8"?>
<sst xmlns="http://schemas.openxmlformats.org/spreadsheetml/2006/main" count="5078" uniqueCount="1067">
  <si>
    <t>Dział</t>
  </si>
  <si>
    <t>Rozdział</t>
  </si>
  <si>
    <t>w tym:</t>
  </si>
  <si>
    <t>75075</t>
  </si>
  <si>
    <t>750</t>
  </si>
  <si>
    <t>Paragraf</t>
  </si>
  <si>
    <t>Promocja jednostek samorządu terytorialnego</t>
  </si>
  <si>
    <t>600</t>
  </si>
  <si>
    <t>60003</t>
  </si>
  <si>
    <t>2630</t>
  </si>
  <si>
    <t>921</t>
  </si>
  <si>
    <t>92116</t>
  </si>
  <si>
    <t>Biblioteki</t>
  </si>
  <si>
    <t>2330</t>
  </si>
  <si>
    <t>dotacje na zadania bieżące</t>
  </si>
  <si>
    <t>Lp.</t>
  </si>
  <si>
    <t>DOCHODY OGÓŁEM</t>
  </si>
  <si>
    <t>KULTURA I OCHRONA DZIEDZICTWA NARODOWEGO</t>
  </si>
  <si>
    <t>ADMINISTRACJA PUBLICZNA</t>
  </si>
  <si>
    <t>majątkowe</t>
  </si>
  <si>
    <t>bieżące</t>
  </si>
  <si>
    <t>w złotych</t>
  </si>
  <si>
    <t>OGÓŁEM</t>
  </si>
  <si>
    <t>2. Dotacje dla jednostek spoza sektora finansów publicznych</t>
  </si>
  <si>
    <t>1. Dotacje dla jednostek sektora finansów publicznych</t>
  </si>
  <si>
    <t xml:space="preserve"> OGÓŁEM</t>
  </si>
  <si>
    <t>Razem: ZAZ</t>
  </si>
  <si>
    <t>Zakład Aktywności Zawodowej w Woli Żyrakowskiej</t>
  </si>
  <si>
    <t>Zakład Aktywności Zawodowej w Woli Dalszej</t>
  </si>
  <si>
    <t>Zakład Aktywności Zawodowej w Jarosławiu</t>
  </si>
  <si>
    <t>Zakład Aktywności Zawodowej w Woli Rafałowskiej</t>
  </si>
  <si>
    <t>Zakład Aktywności Zawodowej w Nowej Sarzynie</t>
  </si>
  <si>
    <t>Zakład Aktywności Zawodowej w Rymanowie Zdroju</t>
  </si>
  <si>
    <t>Kwota 
w złotych</t>
  </si>
  <si>
    <t>Nazwa jednostki</t>
  </si>
  <si>
    <t>Zakład Aktywności Zawodowej w Maliniu</t>
  </si>
  <si>
    <t>Razem: SPZOZ</t>
  </si>
  <si>
    <t xml:space="preserve">Wojewódzki Ośrodek Medycyny Pracy w Rzeszowie </t>
  </si>
  <si>
    <t>Razem: Szpitale ogólne</t>
  </si>
  <si>
    <t>Wojewódzki Szpital im. Jana Pawła II w Krośnie</t>
  </si>
  <si>
    <t>Razem: Instytucje kultury</t>
  </si>
  <si>
    <t>Wojewódzka i Miejska Biblioteka Publiczna 
w Rzeszowie</t>
  </si>
  <si>
    <t>Arboretum i Zakład Fizjografii w Bolestraszycach</t>
  </si>
  <si>
    <t>Galeria Sztuki Współczesnej w Przemyślu</t>
  </si>
  <si>
    <t>Filharmonia Podkarpacka im. A. Malawskiego w Rzeszowie</t>
  </si>
  <si>
    <t>Teatr im. W. Siemaszkowej w Rzeszowie</t>
  </si>
  <si>
    <t>Razem: Domy kultury</t>
  </si>
  <si>
    <t>Centrum Kulturalne w Przemyślu</t>
  </si>
  <si>
    <t>Wojewódzki Dom Kultury w Rzeszowie</t>
  </si>
  <si>
    <t>Razem: Muzea</t>
  </si>
  <si>
    <t>Muzeum Marii Konopnickiej w Żarnowcu</t>
  </si>
  <si>
    <t>Muzeum Budownictwa Ludowego w Sanoku</t>
  </si>
  <si>
    <t>Muzeum Narodowe Ziemi Przemyskiej  w  Przemyślu</t>
  </si>
  <si>
    <t xml:space="preserve">Muzeum Kultury Ludowej w Kolbuszowej </t>
  </si>
  <si>
    <t>Muzeum Podkarpackie w Krośnie</t>
  </si>
  <si>
    <t>Muzeum Okręgowe w Rzeszowie</t>
  </si>
  <si>
    <t xml:space="preserve">SZCZEGÓŁOWY PODZIAŁ DOTACJI PODMIOTOWYCH  
DLA JEDNOSTEK SEKTORA FINANSÓW PUBLICZNYCH I JEDNOSTKEK SPOZA SEKTORA FINANSÓW PUBLICZNYCH  </t>
  </si>
  <si>
    <t>w tym wydatki:</t>
  </si>
  <si>
    <t>w  złotych</t>
  </si>
  <si>
    <t xml:space="preserve">OGÓŁEM </t>
  </si>
  <si>
    <t xml:space="preserve"> WYKAZ DOTACJI  PRZEDMIOTOWYCH DLA JEDNOSTEK SPOZA SEKTORA FINANSÓW PUBLICZNYCH</t>
  </si>
  <si>
    <t>WYDATKI OGÓŁEM</t>
  </si>
  <si>
    <t>Przeznaczenie</t>
  </si>
  <si>
    <t>Jednostka samorządu</t>
  </si>
  <si>
    <t>Nazwa</t>
  </si>
  <si>
    <t>Realizacja  porozumienia dotyczącego dofinansowania zadań związanych z funkcjonowaniem Domu Polski Wschodniej w Brukseli</t>
  </si>
  <si>
    <t>Województwo Warmińsko-Mazurskie</t>
  </si>
  <si>
    <t xml:space="preserve">WYKAZ DOTACJI CELOWYCH NA ZADANIA POWIERZONE DO REALIZACJI 
INNYM JEDNOSTKOM SAMORZĄDU TERYTORIALNEGO </t>
  </si>
  <si>
    <t>.</t>
  </si>
  <si>
    <t>KULTURA I OCHRONA 
DZIEDZICTWA NARODOWEGO</t>
  </si>
  <si>
    <t>pozostałe 
wydatki bieżące</t>
  </si>
  <si>
    <t>wynagrodzenia 
i składki od nich naliczane</t>
  </si>
  <si>
    <t>Wydatki 
majątkowe</t>
  </si>
  <si>
    <t>Wydatki 
bieżące</t>
  </si>
  <si>
    <t>Wydatki 
OGÓŁEM</t>
  </si>
  <si>
    <t xml:space="preserve">WYDATKI  NA  ZADANIA  REALIZOWANE  NA  PODSTAWIE  POROZUMIEŃ  
Z  JEDNOSTKAMI  SAMORZĄDU  TERYTORIALNEGO  </t>
  </si>
  <si>
    <t>Kwota</t>
  </si>
  <si>
    <t xml:space="preserve">Rozdział </t>
  </si>
  <si>
    <t xml:space="preserve">DOCHODY Z TYTUŁU DOTACJI OTRZYMANYCH NA PODSTAWIE POROZUMIEŃ 
Z JEDNOSTKAMI SAMORZĄDU TERYTORIALNEGO  </t>
  </si>
  <si>
    <t xml:space="preserve">ZESTAWIENIE  DOCHODÓW  I  WYDATKÓW  ZWIĄZANYCH  
Z  REALIZACJĄ  ZADAŃ  WSPÓLNYCH  REALIZOWANYCH  NA  PODSTAWIE 
POROZUMIEŃ  MIĘDZY  JEDNOSTKAMI  SAMORZĄDU  TERYTORIALNEGO </t>
  </si>
  <si>
    <t xml:space="preserve">       OGÓŁEM </t>
  </si>
  <si>
    <t>Rozdział 85410</t>
  </si>
  <si>
    <t xml:space="preserve">Biblioteka  Pedagogiczna  w  Tarnobrzegu  </t>
  </si>
  <si>
    <t>Pedagogiczna  Biblioteka  Wojewódzka  w  Przemyślu</t>
  </si>
  <si>
    <t>Pedagogiczna  Biblioteka  Wojewódzka  w  Krośnie</t>
  </si>
  <si>
    <t>Pedagogiczna  Biblioteka  Wojewódzka  w Rzeszowie</t>
  </si>
  <si>
    <t>Rozdział 80147</t>
  </si>
  <si>
    <t>Podkarpacke Centrum Edukacji  Nauczycieli w Rzeszowie</t>
  </si>
  <si>
    <t>Rozdział 80146</t>
  </si>
  <si>
    <t>Rozdział 80130</t>
  </si>
  <si>
    <t>Zespół  Szkół  Specjalnych  w  Rymanowie  Zdroju</t>
  </si>
  <si>
    <t>Rozdział 80102</t>
  </si>
  <si>
    <t>Wydatki</t>
  </si>
  <si>
    <t>Dochody</t>
  </si>
  <si>
    <t>Nazwa  jednostki</t>
  </si>
  <si>
    <t xml:space="preserve">PLAN DOCHODÓW GROMADZONYCH NA WYODRĘBNIONYM RACHUNKU PRZEZ WOJEWÓDZKIE OŚWIATOWE JEDNOSTKI BUDŻETOWE, 
ORAZ WYDATKÓW NIMI FINANSOWANYCH </t>
  </si>
  <si>
    <t>Zakład Aktywności Zawodowej w Starych Oleszycach</t>
  </si>
  <si>
    <t>Medyczno-Społeczne Centrum Kształcenia Zawodowego 
i Ustawicznego w Rzeszowie</t>
  </si>
  <si>
    <t>Medyczno-Społeczne Centrum Kształcenia Zawodowego 
i Ustawicznego w Stalowej  Woli</t>
  </si>
  <si>
    <t>Medyczno-Społeczne Centrum Kształcenia Zawodowego 
i Ustawicznego w Przemyślu</t>
  </si>
  <si>
    <t>Medyczno-Społeczne Centrum Kształcenia Zawodowego 
i Ustawicznego w Jaśle</t>
  </si>
  <si>
    <t xml:space="preserve">Medyczno-Społeczne Centrum Kształcenia Zawodowego 
i Ustawicznego w Sanoku                         </t>
  </si>
  <si>
    <t xml:space="preserve">Medyczno-Społeczne Centrum Kształcenia Zawodowego 
i Ustawicznego w Łańcucie                        </t>
  </si>
  <si>
    <t xml:space="preserve">Medyczno-Społeczne Centrum Kształcenia Zawodowego 
i Ustawicznego w Mielcu                         </t>
  </si>
  <si>
    <t xml:space="preserve">Wojewódzki Szpital im. Św. Ojca Pio w Przemyślu  </t>
  </si>
  <si>
    <t xml:space="preserve">Dopłaty do krajowych autobusowych przewozów pasażerskich z tytułu stosowania w tych przewozach obowiązujacych ulg ustawowych </t>
  </si>
  <si>
    <t>Medyczno-Społeczne Centrum Kształcenia Zawodowego 
i Ustawicznego  w  Rzeszowie</t>
  </si>
  <si>
    <t xml:space="preserve">Zespół Szkół  przy Klinicznym Szpitalu Wojewódzkim Nr 2 w  Rzeszowie                 </t>
  </si>
  <si>
    <t>Zakład Aktywności Zawodowej w Rzeszowie (ul. Rejtana 10)</t>
  </si>
  <si>
    <t>Zakład Aktywności Zawodowej w Rzeszowie (ul. Rejtana 21)</t>
  </si>
  <si>
    <t>Zakład Aktywności Zawodowej w Jaśle</t>
  </si>
  <si>
    <t xml:space="preserve">Kliniczny Szpital Wojewódzki Nr 2 im. Św. Jadwigi Królowej w Rzeszowie </t>
  </si>
  <si>
    <t>92118</t>
  </si>
  <si>
    <t>Powiat Sanocki</t>
  </si>
  <si>
    <t>Muzea</t>
  </si>
  <si>
    <t>WYDATKI  NA  POMOC  FINANSOWĄ  UDZIELANĄ  INNYM  JEDNOSTKOM  SAMORZĄDU  TERYTORIALNEGO
NA  DOFINANSOWANIE  WŁASNYCH ZADAŃ BIEŻĄCYCH ORAZ ZADAŃ INWESTYCYJNYCH I ZAKUPÓW INWESTYCYJNYCH</t>
  </si>
  <si>
    <t>010</t>
  </si>
  <si>
    <t>01042</t>
  </si>
  <si>
    <t>01095</t>
  </si>
  <si>
    <t>60001</t>
  </si>
  <si>
    <t>60014</t>
  </si>
  <si>
    <t>630</t>
  </si>
  <si>
    <t>63003</t>
  </si>
  <si>
    <t>754</t>
  </si>
  <si>
    <t>75404</t>
  </si>
  <si>
    <t>75406</t>
  </si>
  <si>
    <t>75410</t>
  </si>
  <si>
    <t>851</t>
  </si>
  <si>
    <t>85153</t>
  </si>
  <si>
    <t>85154</t>
  </si>
  <si>
    <t>852</t>
  </si>
  <si>
    <t>85205</t>
  </si>
  <si>
    <t>85217</t>
  </si>
  <si>
    <t>853</t>
  </si>
  <si>
    <t>85311</t>
  </si>
  <si>
    <t>900</t>
  </si>
  <si>
    <t>90005</t>
  </si>
  <si>
    <t>92105</t>
  </si>
  <si>
    <t>92120</t>
  </si>
  <si>
    <t>926</t>
  </si>
  <si>
    <t>92605</t>
  </si>
  <si>
    <t>TRANSPORT I ŁĄCZNOŚĆ</t>
  </si>
  <si>
    <t>Wojewódzki Zespół Specjalistyczny w Rzeszowie</t>
  </si>
  <si>
    <t xml:space="preserve">SZCZEGÓŁOWY PODZIAŁ DOTACJI CELOWYCH Z BUDŻETU DLA JEDNOSTEK SEKTORA FINANSÓW PUBLICZNYCH </t>
  </si>
  <si>
    <t>Przeznaczenie dotacji</t>
  </si>
  <si>
    <t>Jednostki samorządu terytorialnego wg podziału dokonanego przez Zarząd</t>
  </si>
  <si>
    <t>Dotacje celowe dla gmin z przeznaczeniem na budowę i modernizację dróg dojazdowych do gruntów rolnych</t>
  </si>
  <si>
    <t>Komenda Wojewódzka Policji 
w Rzeszowie</t>
  </si>
  <si>
    <t>Bieszczadzki Oddział Straży Granicznej w Przemyślu</t>
  </si>
  <si>
    <t>Wpłata na Fundusz Wsparcia Bieszczadzkiego Oddziału Straży Granicznej w Przemyślu z przeznaczeniem na zakup sprzętu i wyposażenia specjalistycznego</t>
  </si>
  <si>
    <t>Komenda Wojewódzka Państwowej Staży Pożarnej w Rzeszowie</t>
  </si>
  <si>
    <t>Wpłata na Wojewódzki Fundusz  Wsparcia Państwowej  Straży Pożarnej  z przeznaczeniem na zakup sprzętu i wyposażenia specjalistycznego</t>
  </si>
  <si>
    <t xml:space="preserve">Filharmonia Podkarpacka im. Artura Malawskiego w Rzeszowie </t>
  </si>
  <si>
    <t xml:space="preserve">Wojewódzki Dom Kultury w Rzeszowie </t>
  </si>
  <si>
    <t>Wojewódzka i Miejska Biblioteka Publiczna w Rzeszowie</t>
  </si>
  <si>
    <t>Muzeum Budownictwa Ludowego 
w Sanoku</t>
  </si>
  <si>
    <t xml:space="preserve"> PODZIAŁ  DOTACJI  CELOWYCH NA  ZADANIA  PUBLICZNE  ZLECONE DO  REALIZACJI  JEDNOSKOM SPOZA SEKTORA FINANSÓW PUBLICZNYCH ORAZ NA  CELE  PUBLICZNE ZWIĄZANE  Z  REALIZACJĄ  ZADAŃ SAMORZĄDU  WOJEWÓDZTWA</t>
  </si>
  <si>
    <t>na rekompensatę  z tytułu wykonywania kolejowych przewozów osób</t>
  </si>
  <si>
    <t>na zadania i cele publiczne z zakresu upowszechniania turystyki</t>
  </si>
  <si>
    <t xml:space="preserve">na zadania i cele publiczne z zakresu ratownictwa górskiego i wodnego </t>
  </si>
  <si>
    <t xml:space="preserve">na zadania i cele publiczne z zakresu kultury </t>
  </si>
  <si>
    <t>na zadania i cele z zakresu ochrony i konserwacji zabytków - szczegółowy podział dotacji zgodnie z zasadami udzielania dotacji dokonany zostanie odrębną uchwałą Sejmiku Województwa</t>
  </si>
  <si>
    <t xml:space="preserve">na zadania i cele publiczne z zakresu kultury fizycznej i sportu </t>
  </si>
  <si>
    <t xml:space="preserve">Wpłata na Wojewódzki Fundusz Wsparcia Policji z przeznaczeniem na zakup sprzętu i wyposażenia specjalistycznego </t>
  </si>
  <si>
    <t>Dofinansowanie bieżącej działalności statutowej Muzeum Historycznego w Sanoku w zakresie gromadzenia, przechowywania i udostępniania zbiorów</t>
  </si>
  <si>
    <t>Wojewódzki Szpital Podkarpacki im. Jana Pawła II w Krośnie</t>
  </si>
  <si>
    <t xml:space="preserve">Wojewódzki Szpital im. Zofii z Zamoyskich Tarnowskiej w Tarnobrzegu </t>
  </si>
  <si>
    <t xml:space="preserve">Wojewódzki Szpital im. Św. Ojca Pio w Przemyślu </t>
  </si>
  <si>
    <t xml:space="preserve">Specjalistyczny Psychiatryczny Zespół Opieki Zdrowotnej im. prof. 
A.  Kępińskiego w Jarosławiu </t>
  </si>
  <si>
    <t xml:space="preserve">Wojewódzki Podkarpacki Szpital Psychiatryczny im. prof. Eugeniusza Brzezickiego w Żurawicy </t>
  </si>
  <si>
    <t xml:space="preserve">Drogi publiczne powiatowe </t>
  </si>
  <si>
    <t xml:space="preserve">Powiat Ropczycko -  Sędziszowski </t>
  </si>
  <si>
    <t>Powiat Rzeszowski</t>
  </si>
  <si>
    <t>na realizację Programu aktywizacji gospodarczo-turystycznej województwa podkarpackiego poprzez promocję cennych przyrodniczo i krajobrazowo terenów łąkowo-pastwiskowych z zachowaniem bioróżnorodności w oparciu o naturalny wypas zwierząt gospodarskich i owadopylności - "Podkarpacki Naturalny Wypas II"</t>
  </si>
  <si>
    <t>855</t>
  </si>
  <si>
    <t>85504</t>
  </si>
  <si>
    <t>85510</t>
  </si>
  <si>
    <t>Dotacje celowe dla powiatów z przeznaczeniem na zakup sprzętu pomiarowego i informatycznego oraz oprogramowania niezbędnego do prowadzenia spraw ochrony gruntów rolnych</t>
  </si>
  <si>
    <t>Kliniczny Szpital Wojewódzki Nr 1 im. Fryderyka Chopina w Rzeszowie</t>
  </si>
  <si>
    <t>Teatr im. W. Siemaszkowej 
w Rzeszowie</t>
  </si>
  <si>
    <t>cd</t>
  </si>
  <si>
    <t>RODZINA</t>
  </si>
  <si>
    <t>Działalność placówek opiekuńczo-wychowawczych</t>
  </si>
  <si>
    <t>na zadania z zakresu zapewnienia instytucjonalnej pieczy zastępczej (wsparcie prowadzenia regionalnych placówek opiekuńczo-terapeutycznych)</t>
  </si>
  <si>
    <t>Zakład Aktywności Zawodowej Nr 1 w Krośnie (ul. Armii Krajowej 3, ul. Lwowska 21)</t>
  </si>
  <si>
    <t>Zakład Aktywności Zawodowej Nr 2 w Krośnie (ul. Armii Krajowej 3, ul. Bohaterów Westerplatte 2A)</t>
  </si>
  <si>
    <t>Muzeum Polaków Ratujących Żydów podczas II wojny światowej im. Rodziny Ulmów w Markowej</t>
  </si>
  <si>
    <t>Krajowe pasażerskie przewozy kolejowe</t>
  </si>
  <si>
    <t>Powiat Dębicki</t>
  </si>
  <si>
    <t>1) Rozbudowa łącznika autostrady A4 na odcniku od granic miasta Rzeszowa do węzła Rzeszów - Północ - etap I" w kwocie  320.000,- zł,
2) "Rozbudowa łącznika drogi ekspresowej S-19 - drogi powiatowej na odcinku od węzła Rzeszów - Południe do drogi krajowej nr 19 - etap I" w kwocie 225.000,-zł</t>
  </si>
  <si>
    <t xml:space="preserve">"Budowa łącznika autostrady A4 (węzeł Sędziszów Małopolski) z drogą krajową nr 94 wraz z niezbędną infrastrukturą techniczną, budowlami i urządzeniami budowlanymi - etap I" </t>
  </si>
  <si>
    <t xml:space="preserve">"Budowa łącznika od węzła autostrady A4 Dębica - Wschód do DK4 i DW985 (Zawada - Pustynia)" </t>
  </si>
  <si>
    <t>Realizacja wskazanych zadań i programów: 
1) 05. Festiwal Nowego Teatru - 57. Rzeszowskie Spotkania Teatralne - 200.000,-zł,
2) XXIV Rzeszowskie Spotkania Karnawałowe – 100.000,-zł,
3) Trans/Misje Międzynarodowy Festiwal Sztuk Rzeszów, Kosice, Ostrava, Debrecen, Lviv, Panevèžys" – 350.000,-zł.</t>
  </si>
  <si>
    <t>Realizacja zadania inwestycyjnego pn. Opracowanie projektów budowlanych i wykonawczych łącznie z kosztorysem budowlanym oraz niezbędnymi materiałami do wniosków o pozwolenie na prace budowlane dotyczące: poszerzenia i podwyższenia okna scenicznego Dużej Sceny oraz przebudowy rampy załadunkowej i wyładunkowej wraz z ruchomym podnośnikiem do transportu dekoracji na scenę.</t>
  </si>
  <si>
    <t>Realizacja wskazanych zadań i programów:
1) 57. Muzyczny Festiwal w Łańcucie – 400.000,-zł,
2) organizację cyklu koncertów pn. „Przestrzeń otwarta dla muzyki”, w tym koncert z okazji 10-lecia podniesienia do godności Bazyliki Mniejszej Sanktuarium Matki Bożej Rzeszowskiej - 150.000,-zł.</t>
  </si>
  <si>
    <t>Realizacja wskazanych zadań i programów:  
1) Podkarpacki Informator Kulturalny  i internetowy Kalendarz Wydarzeń Kulturalnych – 80.000,- zł,
2) Podkarpacka Jesień Jazzową – 25.000,-zł,
3) Festiwal Psalmów Dawidowych "Honorując Sprawiedliwych" - 50.000,-zł.</t>
  </si>
  <si>
    <t xml:space="preserve">Realizacja wskazanych zadań i programów:
1) Międzynarodowy Festiwal Jazzowy "JAZZ BEZ…" – 25.000,-zł,
2) 39. Biesiadę Teatralną w Horyńcu Zdroju – Konfrontacje Zespołów Teatralnych Małych Form, warsztaty – 30.000,-zł,
3) współorganizację V. Festiwalu Kultury Rzeczpospolitej - 50.000,-zł,
4) wkład własny do zadania pn. Podkarpacka Edukacja Kulturowa - 104.000,-zł,
5) 40. Jubileuszowy Ogólnopolski Festiwal Kapel Podwórkowych im. Jerzego Janickiego - 20.000,-zł. </t>
  </si>
  <si>
    <t>Realizacja wskazanych zadań i programów: Międzynarodowe Triennale Malarstwa "Srebrny Czworokąt Przemyśl 2018".</t>
  </si>
  <si>
    <t>Realizacja wskazanych zadań i programów: 
1) wkład własny do projektu pn. Domy z "kulturą" w Arboretum Bolestraszyce - 1.476,-zł,
2) XVI Międzynarodowy Plener Artystyczny Wiklina w Arboretum 2018 - 12.000,-zł,
3) VIII Festiwal Ogrodów - 5.000,-zł,
4) VII Międzynarodowy Festiwal Derenia - 11.000,-zł.</t>
  </si>
  <si>
    <t>Realizacja wskazanych zadań i programów:
1) Dyskusyjne Kluby Książki – 30.000,-zł,
2) „Wykonywanie zadań powiatowej biblioteki publicznej dla Powiatu Rzeszowskiego” – 73.000,-zł.</t>
  </si>
  <si>
    <t>Muzeum - Zamek w Łańcucie</t>
  </si>
  <si>
    <t>Realizacja wskazanych zadań i programów: wkład własny do zadania pn. Ochrona i rozwój dziedzictwa kulturowego dawnej Ordynacji Łańcuckiej poprzez prace remontowo-konserwatorskie oraz wykreowanie nowych przestrzeni ekspozycyjnych w budynku Zamku oraz zabytkowym Parku Muzeum - Zamku w Łańcucie OR-KA II,III,IV,VII.</t>
  </si>
  <si>
    <t xml:space="preserve">Muzeum Okręgowe w Rzeszowie </t>
  </si>
  <si>
    <t>Realizacja wskazanych zadań i programów:  
1) wkład własny do zadania pn. " Modernizacja wystawy stałej "na co dzień i od święta" w Muzeum Etnograficznym - Oddział Muzeum Okręgowego w Rzeszowie – 25.669 zł,
2) wkład własny do zadania pn. "Etnobiznes dla mieszkańców Podkarpacia Edycja druga" - 8.050,-zł.</t>
  </si>
  <si>
    <t>Realizacja wskazanych zadań i programów:
1) VIII Karpacki Festiwal Archeologiczny „Dwa Oblicza” – Trzcinica 2018 – 150.000 zł,
2) wkład własny do zadania pn. Rewaloryzacja i modernizacja zabytkowych budynków Muzeum Podkarpackiego w Krośnie dla zachowania i prezentacji unikatowego dziedzictwa kulturowego regionu - 217.500,-zł.</t>
  </si>
  <si>
    <t xml:space="preserve">Realizację zadań inwestycyjnyjnych pn.: 
1) Archeologii żywa jako unikatowy produkt turystyki kulturowej Karpat – 608.685,-zł,    
2) wkład własny do zadania pn. "Rewaloryzacja i modernizacja zabytkowych budynków Muzeum Podkarpackiego w Krośnie dla zachowania i prezentacji unikatowego dziedzictwa kulturowego regionu" - 30.000,-zł. </t>
  </si>
  <si>
    <t>Realizacja zadań inwestycyjnych pn.:
1) Modernizacja serwera głównego i uzupełnienie macierzy dyskowych - zakup dysków, kontrolerów i innych elementów - 200.000,-zł,
2) zakup nowej wersji oprogramowania komputerowego dLibra - 5.000,-zł,
3) zakup pakietu oprogramowania antywirusowego dla 170 użytkowników - 3.290,-zł.</t>
  </si>
  <si>
    <t>Muzeum Narodowe Ziemi Przemyskiej w Przemyślu</t>
  </si>
  <si>
    <t>Realizacja zadania inwestycyjnego pn.: Zakup mierników do pomiaru wilgotności i temperatury powietrza oraz programu do wydruku tych parametrów, zakup urządzenia QNAP do przechowywania danych w sieci oraz zakup spręzarki do prac konserwatorskich.</t>
  </si>
  <si>
    <t>Realizacja wskazanych zadań i programów: 
1) realizacja IX edycji Festiwalu „ Karpaty zaklęte w Drewnie” – 40.000 zł,
2) organizacja ogólnopolskiej konferencji naukowej "Ochrona i zabezpieczenie dóbr kultury w muzeum na wolnym powietrzu" - 30.000,-zł.</t>
  </si>
  <si>
    <t>Realizacja wskazanych zadań i programów: 
- organizację imprezy pn.  XIV Festiwal Żarnowiec 2018 – 60.000,- zł,
- Międzynarodową Konferencji Naukową "Nie rzucim ziemi, skąd nasz ród..." - 30.000,-zł.</t>
  </si>
  <si>
    <t xml:space="preserve">Realizacja zadań inwestycyjnych pn. 
1) Studnia głębinowa - wiercenie i przyłączenie do instalacji wodociągowej - 10.000,-zł,
2) Zakup kosiarki samojezdnej do koszenia trawy - 10.000,-zł.    </t>
  </si>
  <si>
    <t>92195</t>
  </si>
  <si>
    <t>Pozostała działalność</t>
  </si>
  <si>
    <t>Gmina Miasto Rzeszów</t>
  </si>
  <si>
    <t xml:space="preserve">Budowa pomnika Marszałka Józefa Piłsudskiego w Rzeszowie. </t>
  </si>
  <si>
    <t>ZESTAWIENIE  DOCHODÓW  I  WYDATKÓW  ZWIĄZANYCH  
Z  REALIZACJĄ  ZADAŃ  Z  ZAKRESU  ADMINISTRACJI  RZĄDOWEJ  
ORAZ  INNYCH  ZADAŃ  ZLECONYCH  SAMORZĄDOWI 
WOJEWÓDZTWA  PODKARPACKIEGO USTAWAMI</t>
  </si>
  <si>
    <t>DOCHODY Z TYTUŁU PRZYZNANYCH Z BUDŻETU PAŃSTWA DOTACJI 
NA REALIZACJĘ ZADAŃ Z ZAKRESU ADMINISTRACJI RZĄDOWEJ</t>
  </si>
  <si>
    <t>ROLNICTWO I ŁOWIECTWO</t>
  </si>
  <si>
    <t>01008</t>
  </si>
  <si>
    <t>Melioracje wodne</t>
  </si>
  <si>
    <t>Krajowe pasażerskie przewozy autobusowe</t>
  </si>
  <si>
    <t>60095</t>
  </si>
  <si>
    <t>TURYSTYKA</t>
  </si>
  <si>
    <t>63095</t>
  </si>
  <si>
    <t>710</t>
  </si>
  <si>
    <t>DZIAŁALNOŚĆ USŁUGOWA</t>
  </si>
  <si>
    <t>71012</t>
  </si>
  <si>
    <t>Zadania z zakresu geodezji i kartografii</t>
  </si>
  <si>
    <t>71095</t>
  </si>
  <si>
    <t>75011</t>
  </si>
  <si>
    <t>Urzędy wojewódzkie</t>
  </si>
  <si>
    <t>75046</t>
  </si>
  <si>
    <t>Komisje egzaminacyjne</t>
  </si>
  <si>
    <t>75084</t>
  </si>
  <si>
    <t>Funkcjonowanie wojewódzkich rad dialogu społecznego</t>
  </si>
  <si>
    <t>OCHRONA  ZDROWIA</t>
  </si>
  <si>
    <t>85141</t>
  </si>
  <si>
    <t>Ratownictwo medyczne</t>
  </si>
  <si>
    <t>85156</t>
  </si>
  <si>
    <t>Składki na ubezpieczenie zdrowotne oraz świadczenia 
dla osób nieobjętych obowiązkiem ubezpieczenia zdrowotnego</t>
  </si>
  <si>
    <t>85195</t>
  </si>
  <si>
    <t>POZOSTAŁE ZADANIA W ZAKRESIE POLITYKI SPOŁECZNEJ</t>
  </si>
  <si>
    <t>85332</t>
  </si>
  <si>
    <t>Wojewódzkie urzędy pracy</t>
  </si>
  <si>
    <t>85509</t>
  </si>
  <si>
    <t xml:space="preserve">Działalność ośrodków adopcyjnych </t>
  </si>
  <si>
    <t xml:space="preserve">WYDATKI  NA  ZADANIA  Z  ZAKRESU  ADMINISTRACJI  RZĄDOWEJ                                                                                                                                                                                         </t>
  </si>
  <si>
    <t xml:space="preserve">    w złotych</t>
  </si>
  <si>
    <t>z tego:</t>
  </si>
  <si>
    <t>Wydatki jednostek budżetowych</t>
  </si>
  <si>
    <t>Dotacje na zadania bieżące</t>
  </si>
  <si>
    <t>Świadczenia na rzecz osób fizycznych</t>
  </si>
  <si>
    <t>wynagro-
dzenia i 
składki od nich naliczane</t>
  </si>
  <si>
    <t>wydatki związane z realizacją ich statutowych zadań</t>
  </si>
  <si>
    <t>razem</t>
  </si>
  <si>
    <t>Zadania z zakresu geodezji 
i kartografii</t>
  </si>
  <si>
    <t>Składki na ubezpieczenie zdrowotne oraz świadczenia dla osób nieobjętych obowiązkiem ubezpieczenia zdrowotnego</t>
  </si>
  <si>
    <t>Działaność ośrodków adopcyjnych</t>
  </si>
  <si>
    <t xml:space="preserve">PLAN  DOCHODÓW  PODLEGAJĄCYCH  PRZEKAZANIU  DO  BUDŻETU  PAŃSTWA ORAZ STANOWIĄCYCH DOCHÓD BUDŻETU WOJEWÓDZTWA ZWIĄZANYCH  Z  REALIZACJĄ  ZADAŃ  
Z  ZAKRESU  ADMINISTRACJI  RZĄDOWEJ </t>
  </si>
  <si>
    <t>Dochody
OGÓŁEM</t>
  </si>
  <si>
    <t>w tym: podlegające przekazaniu</t>
  </si>
  <si>
    <t xml:space="preserve">do budżetu państwa </t>
  </si>
  <si>
    <t>do budżetu samorządu</t>
  </si>
  <si>
    <t>100</t>
  </si>
  <si>
    <t>GÓRNICTWO I KOPALNICTWO</t>
  </si>
  <si>
    <t>10095</t>
  </si>
  <si>
    <t>DZIAŁANOŚĆ USŁUGOWA</t>
  </si>
  <si>
    <t>71005</t>
  </si>
  <si>
    <t>Prace geologiczne (nieinwestycyjne)</t>
  </si>
  <si>
    <t xml:space="preserve"> bieżące </t>
  </si>
  <si>
    <t>75095</t>
  </si>
  <si>
    <t>Ogółem</t>
  </si>
  <si>
    <t>720</t>
  </si>
  <si>
    <t>INFORMATYKA</t>
  </si>
  <si>
    <t>72095</t>
  </si>
  <si>
    <t>na realizację zadania pn. "Wsparcie Polaków zamieszkałych na Ukrainie w zakresie dostępu do polskiej kultury i dziedzictwa narodowego poprzez tworzenie miejsc do prowadzenia aktywności kulturalnej, społecznej i edukacyjnej"</t>
  </si>
  <si>
    <t>na realizację zadania publicznego z zakresu edukacji ekologicznej dotyczącej szkodliwości spalania odpadów w piecach i kotłach domowych</t>
  </si>
  <si>
    <t>PODZIAŁ DOTACJI CELOWYCH NA REALIZACJĘ 
PROGRAMU OPERACYJNEGO WIEDZA, EDUKACJA, ROZWÓJ NA LATA 2014-2020</t>
  </si>
  <si>
    <t>Kwota ogółem</t>
  </si>
  <si>
    <t>dotacja celowa dla partnerów projektu ROPS w Rzeszowie pn. "Bliżej Rodziny - szkolenia dla kadr systemu wspierania rodziny i pieczy zastępczej" w ramach POWER na lata 2014-2020</t>
  </si>
  <si>
    <t>dotacja celowa dla beneficjentów realizujących projekty w ramach POWER na lata 2014-2020</t>
  </si>
  <si>
    <t>PODZIAŁ DOTACJI CELOWYCH NA REALIZACJĘ 
REGIONALNEGO PROGRAMU OPERACYJNEGO WOJEWÓDZTWA PODKARPACKIEGO NA LATA 2014-2020</t>
  </si>
  <si>
    <t>dotacja celowa dla beneficjentów realizujących projekty w ramach RPO WP na lata 2014-2020</t>
  </si>
  <si>
    <t>dotacje dla partnerów projektu Urzędu Marszałkowskiego Województwa Podkarpackiego w Rzeszowie pn. "Podkarpacki System Informacji Przestrzennej (PSIP)"</t>
  </si>
  <si>
    <t>dotacje dla partnerów projektu Podkarpackiego Centrum Edukacji Nauczycieli w Rzeszowie pn. "Czas na technologie informacyjno-komunikacyjne i eksperyment"</t>
  </si>
  <si>
    <t>dotacje dla partnerów projektu Podkarpackiego Centrum Edukacji Nauczycieli w Rzeszowie pn. "Do wiedzy przez eksperyment oraz technologie informacyjno-komunikacyjne"</t>
  </si>
  <si>
    <t>dotacje dla partnerów projektu Podkarpackiego Centrum Edukacji Nauczycieli w Rzeszowie pn. "Wykorzystanie technologii informacyjno-komunikacyjnych oraz eksperymentu w procesie nauczania oraz rozwijania kompetencji informatycznych i przyrodniczych"</t>
  </si>
  <si>
    <t>dotacje dla partnerów projektu Podkarpackiego Centrum Edukacji Nauczycieli w Rzeszowie pn. "Zawodowcy na start"</t>
  </si>
  <si>
    <t>dotacja dla partnera projektu Urzędu Marszałkowskiego Województwa Podkarpackiego w Rzeszowie pn. "Podkarpacka Platforma Wsparcia Biznesu"</t>
  </si>
  <si>
    <t>PODZIAŁ DOTACJI CELOWYCH NA REALIZACJĘ 
PROGRAMU OPERACYJNEGO POMOC TECHNICZNA NA LATA 2014-2020</t>
  </si>
  <si>
    <t>Dotacje dla jednostek sektora finansów publicznych</t>
  </si>
  <si>
    <t>dotacje dla beneficjentów projektu Urzędu Marszałkowskiego Województwa Podkarpackiego w Rzeszowie pn. "Projekt wsparcia jednostek samorządu terytorialnego w opracowaniu lub aktualizacji programów rewitalizacji"</t>
  </si>
  <si>
    <t>Realizacja zadań inwestycyjnych pn.: 
1) PET - utworzenie Pracowni PET-TK w Podkarpackim Centrum Onkologii w Klinicznym Szpitalu Wojewódzkim Nr 1 im. F. Chopina w Rzeszowie - 1.882.520,-zł,
2) Rozbudowa Kliniki Hematologii oraz Kliniki Nefrologii ze Stacją Dializ Klinicznego Szpitala Wojewódzkiego Nr 1 im. F. Chopina w Rzeszowie - 2.175.000,-zł,
3) Zakup robota da Vinci - 1.875.000,-zł,</t>
  </si>
  <si>
    <t>Realizacja zadania inwestycyjnego pn.: 
1) Koordynowana opieka kardiologiczna w Szpitalu Wojewódzkim m. Św. Ojca Pio w Przemyślu - 1.092.965,-zł,
2) Wymiana agregatów prądotwórczych - 490.400,-zł,
3) Zakup mammografu dla potrzeb Zakładu Rentgenodiagnostyki  - 1.960.400,-zł.</t>
  </si>
  <si>
    <t>Realizacja zadań inwestycyjnych pn.: 
1) Wymiana osobowych i towarowych dźwigów szpitalnych w łączniku E – etap II - 1.361.832,-zł,
2) Utworzenie nowego oddziału szpitalnego w budynku przy ul. Grodzkiej 45 w celu zwiekszenia potencjału leczniczego szpitala umożliwiającego klasyfikację do grupy III stopnia w ramach "sieci szpitali" - 1.225.625,-zł,
3) Dostosowanie  nieruchomości i pomieszczeń Wojewódzkiego Szpitala im Jana Pawła II w Krośnie przy ul.Korczyńskiej 57 do czasu składowania i ważenia odpadów  - 294.150,-zł,
4) Zakup lasera urologicznego enonukleacyjnego  - 686.350,-zł.</t>
  </si>
  <si>
    <t>Realizacja zadania inwestycyjnego pn.: Poprawa dostępności do leczenia onkologicznego mieszkańców województwa podkarpackiego. Rozwój Centrum Onkologicznego  Wojewódzkiego Szpitala im. Zofii z Zamoyskich Tarnowskiej w Tarnobrzegu.</t>
  </si>
  <si>
    <t>Realizacja zadania inwestycyjnego pn.: 
1) Adaptacja pomieszczeń w budynku przy ul. Focha w Przemyślu dla potrzeb Dziennego Oddziału Psychiatrycznego - 500.000,-zł,
2) Budowa parkingu o nawierzchni utwardzonej położonego przy budynku przy ul. Focha w Przemyślu - 249.850,-zł,
3) Modernizacja stacji uzdatniania ciepłej wody użytkowej w zakresie zabezpieczenia przed bakteriami Legionella - 49.970,-zł,
d) Adaptacja części garażu podziemnego na potrzeby pomieszczenia do mycia i dezynfekcji wózków szpitalnych - 39.976,-zł.</t>
  </si>
  <si>
    <t>Realizacja zadania inwestycyjnego pn.: Zakup aparatu RTG kostno-płucnego do Zakładu Diagnostyki Obrazowej WZS.</t>
  </si>
  <si>
    <t>Wojewódzka Stacja Pogotowia Ratunkowego w Rzeszowie</t>
  </si>
  <si>
    <t>Realizacja zadań inwestycyjnych pn.:
1) Zakup cyfrowego aparatu RTG wraz remontem pomieszczeń i adaptacją - 600.000,-zł,
2) Dofinansowanie zakupu  urządzenia do automatycznej kompresji klatki piersiowej dla Wojewódzkiej Stacji Pogotowia Ratunkowego w Rzeszowie na doposażenie zespołu ratownictwa medycznego - 40.000,-zł.</t>
  </si>
  <si>
    <t xml:space="preserve"> Plan wydatków budżetu Województwa Podkarpackiego na 2018r. -  
na zadania realizowane w ramach programów finansowanych z udziałem środków, o których mowa w art. 5 ust. 1 pkt 2 i 3, 
ustawy o finansach publicznych z perspektywy finansowej 2014-2020
(wg działów, rozdziałów, paragrafów i rodzajów wydatków)</t>
  </si>
  <si>
    <t>Jednostka realizująca / Nazwa zadania / Program</t>
  </si>
  <si>
    <t>Kwota ogółem w 2018r.</t>
  </si>
  <si>
    <t>budżet województwa</t>
  </si>
  <si>
    <t>środki UE</t>
  </si>
  <si>
    <t>budżet państwa</t>
  </si>
  <si>
    <t>inne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</si>
  <si>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</si>
  <si>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</si>
  <si>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</si>
  <si>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</si>
  <si>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</si>
  <si>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</si>
  <si>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</si>
  <si>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</si>
  <si>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</si>
  <si>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</si>
  <si>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</t>
  </si>
  <si>
    <t>URZĄD MARSZAŁKOWSKI WOJEWÓDZTWA PODKARPACKIEGO W RZESZOWIE</t>
  </si>
  <si>
    <t>1</t>
  </si>
  <si>
    <r>
      <t xml:space="preserve">Dotacja celowa na rzecz beneficjentów osi priorytetowych I-VI RPO WP na lata 2014-2020 realizujących projekty o charakterze rewitalizacyjnym
</t>
    </r>
    <r>
      <rPr>
        <sz val="9"/>
        <rFont val="Arial"/>
        <family val="2"/>
        <charset val="238"/>
      </rPr>
      <t>Regionalny Program Operacyjny Województwa Podkarpackiego na lata 2014-2020
(Departament Zarządzania Regionalnym Programem Operacyjnym)</t>
    </r>
  </si>
  <si>
    <t>OGÓŁEM
z tego:</t>
  </si>
  <si>
    <t>wydatki bieżące</t>
  </si>
  <si>
    <t>wydatki majątkowe</t>
  </si>
  <si>
    <t>15011</t>
  </si>
  <si>
    <t>6259</t>
  </si>
  <si>
    <t>2</t>
  </si>
  <si>
    <r>
      <t xml:space="preserve">Dotacja celowa na rzecz beneficjentów osi priorytetowych I-VI RPO WP na lata 2014-2020 realizujących projekty o charakterze innym niż rewitalizacyjny
</t>
    </r>
    <r>
      <rPr>
        <sz val="9"/>
        <rFont val="Arial"/>
        <family val="2"/>
        <charset val="238"/>
      </rPr>
      <t>Regionalny Program Operacyjny Województwa Podkarpackiego na lata 2014-2020
(Departament Zarządzania Regionalnym Programem Operacyjnym)</t>
    </r>
  </si>
  <si>
    <t>6209</t>
  </si>
  <si>
    <t>85111</t>
  </si>
  <si>
    <t>3</t>
  </si>
  <si>
    <r>
      <rPr>
        <i/>
        <sz val="9"/>
        <rFont val="Arial"/>
        <family val="2"/>
        <charset val="238"/>
      </rPr>
      <t>Wsparcie procesu wdrażania RPO WP 2014-2020 poprzez działania o charakterze edukacyjno-promocyjnym i procedurę odwoławczą w 2018 roku</t>
    </r>
    <r>
      <rPr>
        <sz val="9"/>
        <rFont val="Arial"/>
        <family val="2"/>
        <charset val="238"/>
      </rPr>
      <t xml:space="preserve">
Pomoc Techniczna - Regionalny Program Operacyjny Województwa Podkarpackiego na lata 2014-2020
(Departament Zarządzania Regionalnym Programem Operacyjnym)</t>
    </r>
  </si>
  <si>
    <t>75018</t>
  </si>
  <si>
    <t>wydatki bieżące,
w tym:</t>
  </si>
  <si>
    <t>wynagrodzenia wraz z pochodnymi</t>
  </si>
  <si>
    <t>4118</t>
  </si>
  <si>
    <t>4119</t>
  </si>
  <si>
    <t>4178</t>
  </si>
  <si>
    <t>4179</t>
  </si>
  <si>
    <t>pozostałe wydatki bieżące</t>
  </si>
  <si>
    <t>4218</t>
  </si>
  <si>
    <t>4219</t>
  </si>
  <si>
    <t>4308</t>
  </si>
  <si>
    <t>4309</t>
  </si>
  <si>
    <t>4418</t>
  </si>
  <si>
    <t>4419</t>
  </si>
  <si>
    <t>4618</t>
  </si>
  <si>
    <t>4619</t>
  </si>
  <si>
    <t>6058</t>
  </si>
  <si>
    <t>4</t>
  </si>
  <si>
    <r>
      <t>Wsparcie procesu ewaluacji RPO WP 2014-2020</t>
    </r>
    <r>
      <rPr>
        <sz val="9"/>
        <rFont val="Arial"/>
        <family val="2"/>
        <charset val="238"/>
      </rPr>
      <t xml:space="preserve">
Pomoc Techniczna - Regionalny Program Operacyjny Województwa Podkarpackiego na lata 2014-2020
(Departament Zarządzania Regionalnym Programem Operacyjnym)</t>
    </r>
  </si>
  <si>
    <t>4398</t>
  </si>
  <si>
    <t>4399</t>
  </si>
  <si>
    <t>5</t>
  </si>
  <si>
    <r>
      <t>Obsługa funkcjonowania Komitetu Monitorującego Regionalny Program Operacyjny Województwa Podkarpackiego na lata 2014-2020 w 2018 roku</t>
    </r>
    <r>
      <rPr>
        <sz val="9"/>
        <rFont val="Arial"/>
        <family val="2"/>
        <charset val="238"/>
      </rPr>
      <t xml:space="preserve">
Pomoc Techniczna - Regionalny Program Operacyjny Województwa Podkarpackiego na lata 2014-2020
(Departament Zarządzania Regionalnym Programem Operacyjnym)</t>
    </r>
  </si>
  <si>
    <t>3038</t>
  </si>
  <si>
    <t>3039</t>
  </si>
  <si>
    <t>4388</t>
  </si>
  <si>
    <t>4389</t>
  </si>
  <si>
    <t>6</t>
  </si>
  <si>
    <r>
      <rPr>
        <i/>
        <sz val="9"/>
        <rFont val="Arial"/>
        <family val="2"/>
        <charset val="238"/>
      </rPr>
      <t>Zatrudnienie pracowników Urzędu Marszałkowskiego Województwa Podkarpackiego w Rzeszowie zaangażowanych w realizację RPO WP w 2018 roku</t>
    </r>
    <r>
      <rPr>
        <sz val="9"/>
        <rFont val="Arial"/>
        <family val="2"/>
        <charset val="238"/>
      </rPr>
      <t xml:space="preserve">
Pomoc Techniczna - Regionalny Program Operacyjny Województwa Podkarpackiego na lata 2014-2020
(Departament Organizacyjno- Prawny)</t>
    </r>
  </si>
  <si>
    <t>4018</t>
  </si>
  <si>
    <t>4019</t>
  </si>
  <si>
    <t>4048</t>
  </si>
  <si>
    <t>4049</t>
  </si>
  <si>
    <t>4128</t>
  </si>
  <si>
    <t>4129</t>
  </si>
  <si>
    <t>7</t>
  </si>
  <si>
    <r>
      <t xml:space="preserve">Wsparcie UMWP w Rzeszowie w związku z realizacją RPO WP w 2018 roku
</t>
    </r>
    <r>
      <rPr>
        <sz val="9"/>
        <rFont val="Arial"/>
        <family val="2"/>
        <charset val="238"/>
      </rPr>
      <t>Pomoc Techniczna - Regionalny Program Operacyjny Województwa Podkarpackiego na lata 2014-2020
(Departament Organizacyjno- Prawny)</t>
    </r>
  </si>
  <si>
    <t>3028</t>
  </si>
  <si>
    <t>3029</t>
  </si>
  <si>
    <t>4268</t>
  </si>
  <si>
    <t>4269</t>
  </si>
  <si>
    <t>4288</t>
  </si>
  <si>
    <t>4289</t>
  </si>
  <si>
    <t>4428</t>
  </si>
  <si>
    <t>4429</t>
  </si>
  <si>
    <t>4528</t>
  </si>
  <si>
    <t>4529</t>
  </si>
  <si>
    <t>4708</t>
  </si>
  <si>
    <t>4709</t>
  </si>
  <si>
    <t>6068</t>
  </si>
  <si>
    <t>8</t>
  </si>
  <si>
    <r>
      <t xml:space="preserve">Dostawa, wdrożenie i utrzymanie Lokalnego Systemu Informatycznego służącego do obsługi RPO WP na lata 2014-2020 na potrzeby Urzędu Marszałkowskiego Województwa Podkarpackiego w Rzeszowie
</t>
    </r>
    <r>
      <rPr>
        <sz val="9"/>
        <rFont val="Arial"/>
        <family val="2"/>
        <charset val="238"/>
      </rPr>
      <t>Pomoc Techniczna - Regionalny Program Operacyjny Województwa Podkarpackiego na lata 2014-2020
(Departament Organizacyjno - Prawny)</t>
    </r>
  </si>
  <si>
    <t>9</t>
  </si>
  <si>
    <r>
      <t xml:space="preserve">Wsparcie działalności Regionalnego Obserwatorium Terytorialnego w procesie dostarczania niezbędnej wiedzy do zarządzania rozwojem regionu w 2018 roku
</t>
    </r>
    <r>
      <rPr>
        <sz val="9"/>
        <rFont val="Arial"/>
        <family val="2"/>
        <charset val="238"/>
      </rPr>
      <t>Pomoc Techniczna - Regionalny Program Operacyjny Województwa Podkarpackiego na lata 2014-2020
(Departament Rozwoju Regionalnego)</t>
    </r>
  </si>
  <si>
    <t>10</t>
  </si>
  <si>
    <r>
      <t xml:space="preserve">Podkarpacka Platforma Wsparcia Biznesu
</t>
    </r>
    <r>
      <rPr>
        <sz val="9"/>
        <rFont val="Arial"/>
        <family val="2"/>
        <charset val="238"/>
      </rPr>
      <t>Regionalny Program Operacyjny Województwa Podkarpackiego na lata 2014-2020
(Departament Rozwoju Regionalnego)</t>
    </r>
  </si>
  <si>
    <t>dotacje dla partnerów</t>
  </si>
  <si>
    <t>2007</t>
  </si>
  <si>
    <t>4017</t>
  </si>
  <si>
    <t>4117</t>
  </si>
  <si>
    <t>4127</t>
  </si>
  <si>
    <t>4307</t>
  </si>
  <si>
    <t>4417</t>
  </si>
  <si>
    <t>4707</t>
  </si>
  <si>
    <t>6067</t>
  </si>
  <si>
    <t>6207</t>
  </si>
  <si>
    <t>11</t>
  </si>
  <si>
    <r>
      <t xml:space="preserve">Zakup taboru kolejowego do wykonywania przewozów pasażerskich na terenie Województwa Podkarpackiego
</t>
    </r>
    <r>
      <rPr>
        <sz val="9"/>
        <rFont val="Arial"/>
        <family val="2"/>
        <charset val="238"/>
      </rPr>
      <t>Regionalny Program Operacyjny Województwa Podkarpackiego na lata 2014-2020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Dróg i Publicznego Transportu Zbiorowego)</t>
    </r>
  </si>
  <si>
    <t>6060</t>
  </si>
  <si>
    <t>12</t>
  </si>
  <si>
    <r>
      <t xml:space="preserve">Podkarpacki System Informacji Przestrzennej (PSIP)
</t>
    </r>
    <r>
      <rPr>
        <sz val="9"/>
        <rFont val="Arial"/>
        <family val="2"/>
        <charset val="238"/>
      </rPr>
      <t>Regionalny Program Operacyjny Województwa Podkarpackiego na lata 2014-2020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Społeczeństwa Informacyjnego)</t>
    </r>
  </si>
  <si>
    <t>2057</t>
  </si>
  <si>
    <t>6050</t>
  </si>
  <si>
    <t>6057</t>
  </si>
  <si>
    <t>13</t>
  </si>
  <si>
    <r>
      <t xml:space="preserve">Inteligentne specjalizacje - narzędzie wzrostu innowacyjności i konkurencyjności województwa podkarpackiego
</t>
    </r>
    <r>
      <rPr>
        <sz val="9"/>
        <rFont val="Arial"/>
        <family val="2"/>
        <charset val="238"/>
      </rPr>
      <t>Regionalny Program Operacyjny Województwa Podkarpackiego na lata 2014-2020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Rozwoju Regionalnego)</t>
    </r>
  </si>
  <si>
    <t>73095</t>
  </si>
  <si>
    <t>4177</t>
  </si>
  <si>
    <t>4217</t>
  </si>
  <si>
    <t>4387</t>
  </si>
  <si>
    <t>4427</t>
  </si>
  <si>
    <t>14</t>
  </si>
  <si>
    <r>
      <t xml:space="preserve">Podkarpacki System e-Administracji Publicznej - 2 (PSeAP - 2)
</t>
    </r>
    <r>
      <rPr>
        <sz val="9"/>
        <rFont val="Arial"/>
        <family val="2"/>
        <charset val="238"/>
      </rPr>
      <t>Regionalny Program Operacyjny Województwa Podkarpackiego na lata 2014-2020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Społeczeństwa Informacyjnego)</t>
    </r>
  </si>
  <si>
    <t>15</t>
  </si>
  <si>
    <r>
      <t xml:space="preserve">Promocja Gospodarcza Województwa Podkarpackiego
</t>
    </r>
    <r>
      <rPr>
        <sz val="9"/>
        <rFont val="Arial"/>
        <family val="2"/>
        <charset val="238"/>
      </rPr>
      <t>Regionalny Program Operacyjny Województwa Podkarpackiego na lata 2014-2020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Promocji i Współpracy Gospodarczej)</t>
    </r>
  </si>
  <si>
    <t>4397</t>
  </si>
  <si>
    <t>16</t>
  </si>
  <si>
    <r>
      <t xml:space="preserve">Wsparcie stypendialne uczniów szkół gimnazjalnych i ponadgimnazjalnych prowadzących kształcenie ogólne - rok szkolny 2017/2018
</t>
    </r>
    <r>
      <rPr>
        <sz val="9"/>
        <rFont val="Arial"/>
        <family val="2"/>
        <charset val="238"/>
      </rPr>
      <t>Regionalny Program Operacyjny Województwa Podkarpackiego na lata 2014-2020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Edukacji, Nauki i Sportu)</t>
    </r>
  </si>
  <si>
    <t>85416</t>
  </si>
  <si>
    <t>3247</t>
  </si>
  <si>
    <t>3249</t>
  </si>
  <si>
    <t>4267</t>
  </si>
  <si>
    <t>4367</t>
  </si>
  <si>
    <t>4369</t>
  </si>
  <si>
    <t>17</t>
  </si>
  <si>
    <r>
      <t xml:space="preserve">Wsparcie stypendialne uczniów ponadgimnazjalnych szkół zawodowych - rok szkolny 2017/2018
</t>
    </r>
    <r>
      <rPr>
        <sz val="9"/>
        <rFont val="Arial"/>
        <family val="2"/>
        <charset val="238"/>
      </rPr>
      <t>Regionalny Program Operacyjny Województwa Podkarpackiego na lata 2014-2020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Edukacji, Nauki i Sportu)</t>
    </r>
  </si>
  <si>
    <t>18</t>
  </si>
  <si>
    <r>
      <t xml:space="preserve">Portal Muzeum Dziedzictwa Kresów Dawnej Rzeczypospolitej
</t>
    </r>
    <r>
      <rPr>
        <sz val="9"/>
        <rFont val="Arial"/>
        <family val="2"/>
        <charset val="238"/>
      </rPr>
      <t>Regionalny Program Operacyjny Województwa Podkarpackiego na lata 2014-2020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Kultury i Ochrony Dziedzictwa Narodowego)</t>
    </r>
  </si>
  <si>
    <t>19</t>
  </si>
  <si>
    <r>
      <t xml:space="preserve">Pomoc techniczna
</t>
    </r>
    <r>
      <rPr>
        <sz val="9"/>
        <rFont val="Arial"/>
        <family val="2"/>
        <charset val="238"/>
      </rPr>
      <t>Program Rozwoju Obszarów Wiejskich na lata 2014-2020
(Departament Programów Rozwoju Obszarów Wiejskich)</t>
    </r>
  </si>
  <si>
    <t>01041</t>
  </si>
  <si>
    <t>2008</t>
  </si>
  <si>
    <t>2009</t>
  </si>
  <si>
    <t>2058</t>
  </si>
  <si>
    <t>2059</t>
  </si>
  <si>
    <t>4198</t>
  </si>
  <si>
    <t>4199</t>
  </si>
  <si>
    <t>4278</t>
  </si>
  <si>
    <t>4279</t>
  </si>
  <si>
    <t>4438</t>
  </si>
  <si>
    <t>4439</t>
  </si>
  <si>
    <t>20</t>
  </si>
  <si>
    <r>
      <t xml:space="preserve">Pomoc techniczna
</t>
    </r>
    <r>
      <rPr>
        <sz val="9"/>
        <rFont val="Arial"/>
        <family val="2"/>
        <charset val="238"/>
      </rPr>
      <t>Program Operacyjny Rybactwo i Morze na lata 2014-2020
(Departament Programów Rozwoju Obszarów Wiejskich)</t>
    </r>
  </si>
  <si>
    <t>050</t>
  </si>
  <si>
    <t>05011</t>
  </si>
  <si>
    <t>21</t>
  </si>
  <si>
    <r>
      <t xml:space="preserve">Budowa Podmiejskiej Kolei Aglomeracyjnej - PKA: budowa zaplecza technicznego
</t>
    </r>
    <r>
      <rPr>
        <sz val="9"/>
        <rFont val="Arial"/>
        <family val="2"/>
        <charset val="238"/>
      </rPr>
      <t>Program Operacyjny Infrastruktura i Środowisko na lata 2014-2020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Dróg i Publicznego Transportu Zbiorowego)</t>
    </r>
  </si>
  <si>
    <t>60002</t>
  </si>
  <si>
    <t>6059</t>
  </si>
  <si>
    <t>22</t>
  </si>
  <si>
    <r>
      <t xml:space="preserve">Żywe laboratorium polityki publicznej
</t>
    </r>
    <r>
      <rPr>
        <sz val="9"/>
        <rFont val="Arial"/>
        <family val="2"/>
        <charset val="238"/>
      </rPr>
      <t>Program INTERREG EUROPA na lata 2014-2020
(Departament Rozwoju Regionalnego)</t>
    </r>
  </si>
  <si>
    <t>730</t>
  </si>
  <si>
    <t>23</t>
  </si>
  <si>
    <r>
      <t xml:space="preserve">CRinMA - Cultural Resources in the Mountain Areas
</t>
    </r>
    <r>
      <rPr>
        <sz val="9"/>
        <rFont val="Arial"/>
        <family val="2"/>
        <charset val="238"/>
      </rPr>
      <t>Program INTERREG EUROPA na lata 2014-2020
(Departament Kultury i Ochrony Dziedzictwa Narodowego)</t>
    </r>
  </si>
  <si>
    <t>24</t>
  </si>
  <si>
    <r>
      <t xml:space="preserve">Szlak Maryjny (Światło ze Wschodu)
</t>
    </r>
    <r>
      <rPr>
        <sz val="9"/>
        <rFont val="Arial"/>
        <family val="2"/>
        <charset val="238"/>
      </rPr>
      <t>Program Współpracy Transgranicznej INTERREG V-A POLSKA - SŁOWACJA na lata 2014-2020
(Departament Promocji i Współpracy Gospodarczej)</t>
    </r>
  </si>
  <si>
    <t>25</t>
  </si>
  <si>
    <r>
      <t xml:space="preserve">W sercu Karpat - granica, która łączy
</t>
    </r>
    <r>
      <rPr>
        <sz val="9"/>
        <rFont val="Arial"/>
        <family val="2"/>
        <charset val="238"/>
      </rPr>
      <t>Program Współpracy Transgranicznej INTERREG V-A POLSKA - SŁOWACJA na lata 2014-2020
(Departament Promocji i Współpracy Gospodarczej)</t>
    </r>
  </si>
  <si>
    <t>26</t>
  </si>
  <si>
    <r>
      <t xml:space="preserve">Szlakiem obiektów UNESCO na pograniczu polsko-słowackim
</t>
    </r>
    <r>
      <rPr>
        <sz val="9"/>
        <rFont val="Arial"/>
        <family val="2"/>
        <charset val="238"/>
      </rPr>
      <t>Program Współpracy Transgranicznej INTERREG V-A POLSKA - SŁOWACJA na lata 2014-2020
(Departament Promocji i Współpracy Gospodarczej)</t>
    </r>
  </si>
  <si>
    <t>27</t>
  </si>
  <si>
    <r>
      <t xml:space="preserve">Szlak Kultury Wołoskiej
</t>
    </r>
    <r>
      <rPr>
        <sz val="9"/>
        <rFont val="Arial"/>
        <family val="2"/>
        <charset val="238"/>
      </rPr>
      <t>Program Współpracy Transgranicznej INTERREG V-A POLSKA - SŁOWACJA na lata 2014-2020
(Departament Promocji i Współpracy Gospodarczej)</t>
    </r>
  </si>
  <si>
    <t>28</t>
  </si>
  <si>
    <r>
      <t xml:space="preserve">Partnerstwo dla wspólnego rozwoju
Pomoc techniczna - </t>
    </r>
    <r>
      <rPr>
        <sz val="9"/>
        <rFont val="Arial"/>
        <family val="2"/>
        <charset val="238"/>
      </rPr>
      <t>Program Współpracy Transgranicznej INTERREG V-A POLSKA - SŁOWACJA na lata 2014-2020
(Departament Promocji i Współpracy Gospodarczej)</t>
    </r>
  </si>
  <si>
    <t>29</t>
  </si>
  <si>
    <r>
      <t xml:space="preserve">Rozwój regionalnej szerokopasmowej sieci dostępu do Internetu dla Regionów Podkarpackiego i Lwowskiego 
</t>
    </r>
    <r>
      <rPr>
        <sz val="9"/>
        <rFont val="Arial"/>
        <family val="2"/>
        <charset val="238"/>
      </rPr>
      <t>Program Współpracy Transgranicznej POLSKA - BIAŁORUŚ - UKRAINA na lata 2014-2020
(Departament Społeczeństwa Informacyjnego)</t>
    </r>
  </si>
  <si>
    <t>30</t>
  </si>
  <si>
    <r>
      <t xml:space="preserve">Realizacja Kontraktu Usługowego dotyczącego ustanowienia Oddziału Programu Współpracy Transgranicznej EIS Polska - Białoruś - Ukraina 2014-2020 w Rzeszowie
</t>
    </r>
    <r>
      <rPr>
        <sz val="9"/>
        <rFont val="Arial"/>
        <family val="2"/>
        <charset val="238"/>
      </rPr>
      <t>Program Współpracy Transgranicznej POLSKA - BIAŁORUŚ - UKRAINA na lata 2014-2020
(Biuro "Oddział Programu Współpracy Transgranicznej POLSKA-BIAŁORUŚ-UKRAINA 2014-2020 w Rzeszowie")</t>
    </r>
  </si>
  <si>
    <t>4368</t>
  </si>
  <si>
    <t>4408</t>
  </si>
  <si>
    <t>31</t>
  </si>
  <si>
    <r>
      <t xml:space="preserve">Punkty Informacyjne Funduszy Europejskich
</t>
    </r>
    <r>
      <rPr>
        <sz val="9"/>
        <rFont val="Arial"/>
        <family val="2"/>
        <charset val="238"/>
      </rPr>
      <t>Program Operacyjny Pomoc Techniczna na lata 2014-2020
(Biuro Informacji o Funduszach Europejskich)</t>
    </r>
  </si>
  <si>
    <t>4409</t>
  </si>
  <si>
    <t>32</t>
  </si>
  <si>
    <r>
      <t xml:space="preserve">Projekt wsparcia jednostek samorządu terytorialnego w opracowaniu lub aktualizacji programów rewitalizacji
</t>
    </r>
    <r>
      <rPr>
        <sz val="9"/>
        <rFont val="Arial"/>
        <family val="2"/>
        <charset val="238"/>
      </rPr>
      <t>Program Operacyjny Pomoc Techniczna na lata 2014-2020
(Departament Rozwoju Regionalnego)</t>
    </r>
  </si>
  <si>
    <t>dotacje dla beneficjentów</t>
  </si>
  <si>
    <t>II</t>
  </si>
  <si>
    <t>PODKARPACKI ZARZĄD DRÓG WOJEWÓDZKICH W RZESZOWIE</t>
  </si>
  <si>
    <r>
      <t xml:space="preserve">Budowa drogi wojewódzkiej nr 835 Lublin - Przeworsk - Grabownica Starzeńska na odcinku od węzła A4 "Przeworsk" do drogi krajowej 94 (Gwizdaj)
</t>
    </r>
    <r>
      <rPr>
        <sz val="9"/>
        <rFont val="Arial"/>
        <family val="2"/>
        <charset val="238"/>
      </rPr>
      <t>Regionalny Program Operacyjny Województwa Podkarpackiego na lata 2014-2020</t>
    </r>
  </si>
  <si>
    <t>60013</t>
  </si>
  <si>
    <r>
      <t xml:space="preserve">Przebudowa/ rozbudowa drogi wojewódzkiej nr 835 Lublin–Przeworsk–Grabownica Starzeńska na odcinku od skrzyżowania z drogą wojewódzką nr 870 w m. Sieniawa do łącznika drogi  wojewódzkiej z węzłem „Przeworsk” w miejscowości Gorliczyna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</si>
  <si>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Budowa drogi wojewódzkiej nr 886 na odcinku pomiędzy planowaną obwodnicą miasta Sanoka a drogą krajową nr 28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</si>
  <si>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Przebudowa/rozbudowa drogi wojewódzkiej nr 988 Babica–Strzyżów–Warzyce na odcinku od m. Zaborów do początku obwodnicy m. Strzyżów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</si>
  <si>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Budowa obwodnicy m. Kolbuszowa i Werynia w ciągu drogi wojewódzkiej nr 875 Mielec–Leżajsk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</si>
  <si>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Budowa obwodnicy m. Dynów w ciągu drogi wojewódzkiej nr 835 Lublin–Przeworsk–Grabownica Starzeńska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</si>
  <si>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Budowa drogi wojewódzkiej Nr 992 Jasło– Granica Państwa na odcinku pomiędzy drogą krajową Nr 28 a drogą krajową Nr 73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</si>
  <si>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Budowa obwodnicy m. Oleszyce i m. Cieszanów w ciągu drogi wojewódzkiej Nr 865 Jarosław–Oleszyce–Cieszanów–Bełżec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</si>
  <si>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Przebudowa/rozbudowa drogi wojewódzkiej nr 867 na odcinku od Oleszyc do Lubaczowa wraz z budową obwodnicy Oleszyc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</si>
  <si>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Budowa obwodnicy m. Lubaczów w ciągu drogi wojewódzkiej nr 866 Dachnów - Lubaczów- Granica Państwa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</si>
  <si>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Przebudowa/rozbudowa drogi wojewódzkiej nr 861 Bojanów–Jeżowe–Kopki na odcinku od skrzyżowania drogi krajowej 19 w m. Jeżowe do węzła S-19 Podgórze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</si>
  <si>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Przebudowa/rozbudowa drogi wojewódzkiej nr 881 na odcinku Kańczuga - Pruchnik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</si>
  <si>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Budowa/przebudowa drogi wojewódzkiej nr 835 Lublin-Przeworsk-Grabownica Starzeńska na odcinku od DK 4 do miasta Kańczuga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</si>
  <si>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Rozbudowa drogi wojewódzkiej nr 881 Sokołów Małopolski - Łańcut - Kańczuga - Żurawica na odcinku Czarna - Łańcut wraz z budową mostu na rzece Wisłok i Mikośka + ul. Kraszewskiego w Łańcucie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</si>
  <si>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Przebudowa/rozbudowa drogi wojewódzkiej nr 875 Mielec - Kolbuszowa - Leżajsk od końca obwodnicy m. Werynia do początku obwodnicy m. Sokołów Małopolski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</si>
  <si>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Budowa obwodnicy m. Strzyżów w ciągu drogi wojewódzkiej Nr 988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</si>
  <si>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Budowa nowego odcinka drogi wojewódzkiej nr 984 od m. Piątkowiec przez m. Rzędzianowice do ul. Sienkiewicza w Mielcu wraz z budową mostu na rzece Wisłoka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</si>
  <si>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Budowa drogi wojewódzkiej Nr 987 na odcinku od DK 94 przez ul. Księżomost do DP 1334 R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</si>
  <si>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Budowa obwodnicy m. Radomyśl Wielki w ciągu DW 984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</si>
  <si>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Budowa obwodnicy m. Kolbuszowa w ciągu DW 987 Kolbuszowa - Sędziszów Młp.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</si>
  <si>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Budowa DW Nr 858 Zarzecze - granica województwa na odcinku Dąbrowica - Sieraków + most na rzece Tanew i most na rzece Borownica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</si>
  <si>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Budowa i rozbudowa DW Nr 869 na odcinku od węzła S-19 Jasionka do węzła DK 9 w Rudnej Małej
</t>
    </r>
    <r>
      <rPr>
        <sz val="9"/>
        <rFont val="Arial"/>
        <family val="2"/>
        <charset val="238"/>
      </rPr>
      <t>Program Operacyjny Polska Wschodnia na lata 2014-2020</t>
    </r>
  </si>
  <si>
    <r>
      <t xml:space="preserve">Rozbudowa i budowa DW Nr 988 na odcinku Babica-Zaborów wraz z budową obwodnicy Czudca
</t>
    </r>
    <r>
      <rPr>
        <sz val="9"/>
        <rFont val="Arial"/>
        <family val="2"/>
        <charset val="238"/>
      </rPr>
      <t>Program Operacyjny Polska Wschodnia na lata 2014-2020</t>
    </r>
  </si>
  <si>
    <r>
      <t xml:space="preserve">Rozbudowa DW Nr 878 na odcinku: od granicy miasta Rzeszowa do skrzyżowania ul. Grunwaldzkiej z ul. Orkana w Tyczynie (DP Nr 1404R)
</t>
    </r>
    <r>
      <rPr>
        <sz val="9"/>
        <rFont val="Arial"/>
        <family val="2"/>
        <charset val="238"/>
      </rPr>
      <t>Program Operacyjny Polska Wschodnia na lata 2014-2020</t>
    </r>
  </si>
  <si>
    <r>
      <t xml:space="preserve">Przygotowanie i realizacja odcinka drogi wojewódzkiej pomiędzy granicą Rzeszowa a węzłem w Kielanówce drogi ekspresowej S-19
</t>
    </r>
    <r>
      <rPr>
        <sz val="9"/>
        <rFont val="Arial"/>
        <family val="2"/>
        <charset val="238"/>
      </rPr>
      <t>Program Operacyjny Polska Wschodnia na lata 2014-2020</t>
    </r>
  </si>
  <si>
    <r>
      <t xml:space="preserve">Rozwój infrastruktury drogowej pomiędzy miastami Snina – Medzilaborce – Krosno, przebudowa / rozbudowa DW 897 na odcinku Tylawa – Daliowa
</t>
    </r>
    <r>
      <rPr>
        <sz val="9"/>
        <rFont val="Arial"/>
        <family val="2"/>
        <charset val="238"/>
      </rPr>
      <t>Program Współpracy Transgranicznej INTERREG V-A POLSKA - SŁOWACJA na lata 2014-2020</t>
    </r>
  </si>
  <si>
    <r>
      <t xml:space="preserve">Rozbudowa drogi wojewódzkiej nr 885 Przemyśl - Hermanowice - Granica Państwa
</t>
    </r>
    <r>
      <rPr>
        <sz val="9"/>
        <rFont val="Arial"/>
        <family val="2"/>
        <charset val="238"/>
      </rPr>
      <t>Program Współpracy Transgranicznej POLSKA - BIAŁORUŚ - UKRAINA na lata 2014-2020</t>
    </r>
  </si>
  <si>
    <t>III</t>
  </si>
  <si>
    <t>PODKARPACKI ZARZĄD MELIORACJI I URZĄDZEŃ WODNYCH W RZESZOWIE</t>
  </si>
  <si>
    <r>
      <t xml:space="preserve">Ropa - Etap 1 - budowa lewego obwałowania rzeki Ropy na terenie miejscowości Trzcinica, gm. Jasło oraz Przysieki, Siedliska Sławęckie, Pusta Wola, gm. Skołyszyn, woj. podkarpackie, zwane inaczej Ropa - Etap 1 - budowa lewego obwałowania rzeki Ropy na odcinku od drogi powiatowej w Trzcinicy do mostu kolejowego w Siedliskach Sławęckich na terenie miejscowości Trzcinica, gm. Jasło oraz Przysieki, Siedliska Sławęckie, Pusta Wola, gm. Skołyszyn, woj. podkarpackie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</si>
  <si>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Zabezpieczenie przed powodzią obszarów położonych w km rzeki Wisłoki 113+350-119+000 na terenie miasta Jasło, gm. Jasło oraz gm. Dębowiec, woj. podkarpackie - Etap I i II
</t>
    </r>
    <r>
      <rPr>
        <sz val="9"/>
        <rFont val="Arial"/>
        <family val="2"/>
        <charset val="238"/>
      </rPr>
      <t>Regionalny Program Operacyjny Województwa Podkarpackiego na lata 2014-2020</t>
    </r>
  </si>
  <si>
    <t>01078</t>
  </si>
  <si>
    <t>IV</t>
  </si>
  <si>
    <t>WOJEWÓDZKI OŚRODEK DOKUMENTACJI GEODEZYJNEJ I KARTOGRAFICZNEJ W RZESZOWIE</t>
  </si>
  <si>
    <r>
      <t xml:space="preserve">Podkarpacki System Informacji Przestrzennej (PSIP)
</t>
    </r>
    <r>
      <rPr>
        <sz val="9"/>
        <rFont val="Arial"/>
        <family val="2"/>
        <charset val="238"/>
      </rPr>
      <t>Regionalny Program Operacyjny Województwa Podkarpackiego na lata 2014-2020</t>
    </r>
  </si>
  <si>
    <t>4300</t>
  </si>
  <si>
    <t>V</t>
  </si>
  <si>
    <t>WOJEWÓDZKI URZĄD PRACY W RZESZOWIE</t>
  </si>
  <si>
    <r>
      <t xml:space="preserve">Dotacja celowa dla beneficjentów realizujących projekty w ramach osi I
</t>
    </r>
    <r>
      <rPr>
        <sz val="9"/>
        <rFont val="Arial"/>
        <family val="2"/>
        <charset val="238"/>
      </rPr>
      <t>Program Operacyjny Wiedza Edukacja Rozwój na lata 2014-2020</t>
    </r>
  </si>
  <si>
    <t>85395</t>
  </si>
  <si>
    <r>
      <t xml:space="preserve">Dotacja celowa dla beneficjentów realizujących projekty w ramach osi VII - IX
</t>
    </r>
    <r>
      <rPr>
        <sz val="9"/>
        <rFont val="Arial"/>
        <family val="2"/>
        <charset val="238"/>
      </rPr>
      <t>Regionalny Program Operacyjny Województwa Podkarpackiego na lata 2014-2020</t>
    </r>
    <r>
      <rPr>
        <i/>
        <sz val="9"/>
        <rFont val="Arial"/>
        <family val="2"/>
        <charset val="238"/>
      </rPr>
      <t xml:space="preserve">
</t>
    </r>
  </si>
  <si>
    <t>80195</t>
  </si>
  <si>
    <t>85295</t>
  </si>
  <si>
    <r>
      <t xml:space="preserve">Pomoc techniczna
</t>
    </r>
    <r>
      <rPr>
        <sz val="9"/>
        <rFont val="Arial"/>
        <family val="2"/>
        <charset val="238"/>
      </rPr>
      <t>Program Operacyjny Wiedza, Edukacja, Rozwój na lata 2014-2020</t>
    </r>
  </si>
  <si>
    <r>
      <t xml:space="preserve">Pomoc techniczna RPO WP na lata 2014-2020 dla Wojewódzkiego Urzędu Pracy w Rzeszowie na rok 2018
</t>
    </r>
    <r>
      <rPr>
        <sz val="9"/>
        <rFont val="Arial"/>
        <family val="2"/>
        <charset val="238"/>
      </rPr>
      <t>Pomoc Techniczna - Regionalny Program Operacyjny Województwa Podkarpackiego na lata 2014-2020</t>
    </r>
  </si>
  <si>
    <t>VI</t>
  </si>
  <si>
    <t>REGIONALNY OŚRODEK POLITYKI SPOŁECZNEJ W RZESZOWIE</t>
  </si>
  <si>
    <r>
      <t xml:space="preserve">Koordynacja sektora ekonomii społecznej w województwie podkarpackim
</t>
    </r>
    <r>
      <rPr>
        <sz val="9"/>
        <rFont val="Arial"/>
        <family val="2"/>
        <charset val="238"/>
      </rPr>
      <t>Regionalny Program Operacyjny Województwa Podkarpackiego na lata 2014-2020</t>
    </r>
  </si>
  <si>
    <t>4047</t>
  </si>
  <si>
    <r>
      <t xml:space="preserve">Koordynacja sektora ekonomii społecznej w województwie podkarpackim w latach 2018-2019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</si>
  <si>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Bliżej Rodziny - szkolenia dla kadr systemu wspierania rodziny i pieczy zastępczej
</t>
    </r>
    <r>
      <rPr>
        <sz val="9"/>
        <rFont val="Arial"/>
        <family val="2"/>
        <charset val="238"/>
      </rPr>
      <t>Program Operacyjny Wiedza Edukacja Rozwój na lata 2014-2020</t>
    </r>
  </si>
  <si>
    <r>
      <t xml:space="preserve">CE 985 „SENTINEL - Rozwój i umacnianie pozycji przedsiębiorstw społecznych w celu maksymalnego zwiększenia ich wpływu na sektor ekonomiczny i społeczny w państwach Europy Środkowej"
</t>
    </r>
    <r>
      <rPr>
        <sz val="9"/>
        <rFont val="Arial"/>
        <family val="2"/>
        <charset val="238"/>
      </rPr>
      <t>Program INTERREG EUROPA ŚRODKOWA na lata 2014-2020</t>
    </r>
  </si>
  <si>
    <t>VII</t>
  </si>
  <si>
    <t>PEDAGOGICZNA BIBLIOTEKA WOJEWÓDZKA W RZESZOWIE</t>
  </si>
  <si>
    <t>Podkarpackie e-biblioteki pedagogiczne
Regionalny Program Operacyjny Województwa Podkarpackiego na lata 2014-2020</t>
  </si>
  <si>
    <t>80147</t>
  </si>
  <si>
    <t>4010</t>
  </si>
  <si>
    <t>VIII</t>
  </si>
  <si>
    <t>PODKARPACKIE CENTRUM EDUKACJI NAUCZYCIELI W RZESZOWIE</t>
  </si>
  <si>
    <r>
      <t xml:space="preserve">Razem odkryjmy świat programowania - szkolenia dla nauczycieli i uczniów z podregionu przemyskiego
</t>
    </r>
    <r>
      <rPr>
        <sz val="9"/>
        <rFont val="Arial"/>
        <family val="2"/>
        <charset val="238"/>
      </rPr>
      <t>Program Operacyjny Polska Cyfrowa na lata 2014-2020</t>
    </r>
  </si>
  <si>
    <t>80146</t>
  </si>
  <si>
    <r>
      <t xml:space="preserve">Razem odkryjmy świat programowania - szkolenia dla nauczycieli i uczniów z podregionu rzeszowskiego
</t>
    </r>
    <r>
      <rPr>
        <sz val="9"/>
        <rFont val="Arial"/>
        <family val="2"/>
        <charset val="238"/>
      </rPr>
      <t>Program Operacyjny Polska Cyfrowa na lata 2014-2020</t>
    </r>
  </si>
  <si>
    <r>
      <t xml:space="preserve">Czas na technologie informacyjno-komunikacyjne i eksperyment
</t>
    </r>
    <r>
      <rPr>
        <sz val="9"/>
        <rFont val="Arial"/>
        <family val="2"/>
        <charset val="238"/>
      </rPr>
      <t>Regionalny Program Operacyjny Województwa Podkarpackiego na lata 2014-2020</t>
    </r>
  </si>
  <si>
    <t>3027</t>
  </si>
  <si>
    <t>4227</t>
  </si>
  <si>
    <t>4229</t>
  </si>
  <si>
    <r>
      <t xml:space="preserve">Do wiedzy przez eksperyment oraz technologie informacyjno-komunikacyjne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</si>
  <si>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Wykorzystanie technologii informacyjno-komunikacyjnych oraz eksperymentu w procesie nauczania oraz rozwijania kompetencji informatycznych i przyrodniczych 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</si>
  <si>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Zabytkowa siedziba Podkarpackiego Centrum Edukacji Nauczycieli w Rzeszowie Oddział w Tarnobrzegu atrakcją kulturalną miasta Tarnobrzeg oraz Województwa Podkarpackiego
</t>
    </r>
    <r>
      <rPr>
        <sz val="9"/>
        <rFont val="Arial"/>
        <family val="2"/>
        <charset val="238"/>
      </rPr>
      <t>Regionalny Program Operacyjny Województwa Podkarpackiego na lata 2014-2020</t>
    </r>
  </si>
  <si>
    <t>4340</t>
  </si>
  <si>
    <t>4347</t>
  </si>
  <si>
    <t>4349</t>
  </si>
  <si>
    <r>
      <t xml:space="preserve">Zawodowcy na start
</t>
    </r>
    <r>
      <rPr>
        <sz val="9"/>
        <rFont val="Arial"/>
        <family val="2"/>
        <charset val="238"/>
      </rPr>
      <t>Regionalny Program Operacyjny Województwa Podkarpackiego na lata 2014-2020</t>
    </r>
  </si>
  <si>
    <r>
      <t xml:space="preserve">50 + angielski
</t>
    </r>
    <r>
      <rPr>
        <sz val="9"/>
        <rFont val="Arial"/>
        <family val="2"/>
        <charset val="238"/>
      </rPr>
      <t>Regionalny Program Operacyjny Województwa Podkarpackiego na lata 2014-2020</t>
    </r>
  </si>
  <si>
    <t>IX</t>
  </si>
  <si>
    <t>MEDYCZNO-SPOŁECZNE CENTRUM KSZTAŁCENIA ZAWODOWEGO I USTAWICZNEGO W RZESZOWIE</t>
  </si>
  <si>
    <r>
      <t xml:space="preserve">Dostosowanie oferty kształcenia Medyczno - Społecznego Centrum Kształcenia Zawodowego i Ustawicznego w Rzeszowie do potrzeb podkarpackiego rynku pracy
</t>
    </r>
    <r>
      <rPr>
        <sz val="9"/>
        <rFont val="Arial"/>
        <family val="2"/>
        <charset val="238"/>
      </rPr>
      <t>Regionalny Program Operacyjny Województwa Podkarpackiego na lata 2014-2020</t>
    </r>
  </si>
  <si>
    <t>80130</t>
  </si>
  <si>
    <t>4247</t>
  </si>
  <si>
    <t>4249</t>
  </si>
  <si>
    <t>RAZEM</t>
  </si>
  <si>
    <t>Województwo Małopolskie</t>
  </si>
  <si>
    <t>Dofinansowanie zadań związanych z organizacją i dotowaniem regionalnych przewozów pasażerskich w relacji Kraków - Jasło i Nowy Sącz  - Jasło uruchamianych przez Województwo Małopolskie</t>
  </si>
  <si>
    <t>cd.</t>
  </si>
  <si>
    <t>Realizacja zadań inwestycyjnych pn.: 
1) Utworzenie ośrodka referencyjnego leczenia niepłodności w Klinicznym Szpitalu Wojewódzkim Nr 2 im. Św. Jadwigi Królowej w Rzeszowie - 172.500,-zł,
2) Przebudowa i remont pomieszczeń Oddziału Dorosłych  Kliniki Ortopedii i Traumatologii Narządu Ruchu Dzieci i Dorosłych w Kl. Sz. Woj. Nr 2 im. Św. Jadwigi królowej w Rzeszowie  oraz zakup wyposażenia wraz z wdrożeniem  tele-patologii  w Kl. Zakł. Patomorfologii - 585.035,-zł,
3) Poprawa jakości diagnostyki i leczenia kardiologiczno-kardiochirurgicznego poprzez zakup specjalistycznego sprzętu medycznego w Klinicznym Szpitalu  Wojewódzkim Nr 2 im. Św. Jadwigi Królowej w Rzeszowie - 420.000,-zł
4) Wymiana wyeksploatowanego sprzętu w Klinice Kardiochirurgii - 911.892,-zł.</t>
  </si>
  <si>
    <t>Realizacja zadania inwestycyjnego pn.: Modernizacja Stacji Uzdatniania wody podziemnej w Budynku Hydroforni.</t>
  </si>
  <si>
    <t>Realizacja zadań inwestycyjnych pn. :
1) Podkarpacki Regionalny Fundusz Filmowy i Podkarpacką Kronikę Filmową - 580.000,-zł,
2) Budowa windy osobowej w budynku WDK - 405.226,-zł.</t>
  </si>
  <si>
    <t>Realizacja zadań inwestycyjnych pn.:
1) zakup i montaż klimatyzatorów dla Sali Baletowej i pomieszczeń biurowych - 45.000,-zł,
2)  zakup samochodu osobowo - dostawczego - 150.000,-zł.</t>
  </si>
  <si>
    <t>Realizacja zadań inwestycyjnych pn.:
1) wkład własny do projektu pn. ''Domy z "kulturą" w Arboretum Bolestraszyce" - 622.100,-zł,
2) zabezpieczenie kolekcji roślin wodnych - 25.000,-zł.</t>
  </si>
  <si>
    <t xml:space="preserve">Dotacje celowe dla gmin z przeznaczeniem na modernizację dróg dojazdowych do gruntów rolnych </t>
  </si>
  <si>
    <t>Na realizację inwestycji pn."Podkarpacki System Informacji Przestrzennej (PSIP)"</t>
  </si>
  <si>
    <t>na zadania i cele publiczne z zakresu przeciwdziałania narkomanii w ramach  "Wojewódzkiego Programu Przeciwdziałania Narkomanii"</t>
  </si>
  <si>
    <t>na zadania i cele publiczne z zakresu wychowywania w trzeźwości  i przeciwdziałania alkoholizmowi w ramach "Wojewódzkiego Programu Profilaktyki i Rozwiązywania Problemów Alkoholowych"</t>
  </si>
  <si>
    <t xml:space="preserve">na zadania i cele z zakresu przeciwdziałania przemocy w rodzinie w ramach "Wojewódzkiego Programu Przeciwdziałania Przemocy w Rodzinie" </t>
  </si>
  <si>
    <t xml:space="preserve">na zadania i cele z zakresu pomocy społecznej w ramach "Wojewódzkiego Programu Pomocy Społecznej" </t>
  </si>
  <si>
    <t xml:space="preserve">na zadania i cele z zakresu rehabilitacji zawodowej i społecznej oraz zatrudniania osób niepełnosprawnych w ramach "Wojewódzkiego Programu na Rzecz Wyrównywania Szans Osób Niepełnosprawnych i Przeciwdziałania ich Wykluczeniu Społecznemu" </t>
  </si>
  <si>
    <t xml:space="preserve">na zadania i cele z zakresu wspierania rodziny i systemu pieczy zastępczej w ramach "Wojewódzkiego Programu Wspierania Rodziny i Systemu Pieczy Zastępczej" </t>
  </si>
  <si>
    <t>Realizacja zadania inwestycyjnego pn.: wkład własny do zadania pn. Ochrona i rozwój dziedzictwa kulturowego dawnej Ordynacji Łańcuckiej poprzez prace remontowo-konserwatorskie oraz wykreowanie nowych przestrzeni ekspozycyjnych w budynku Zamku oraz zabytkowym Parku Muzeum - Zamku w Łańcucie OR-KA II,III,IV,VII.</t>
  </si>
  <si>
    <t>Realizacja zadania inwestycyjnego pn.: wkład własny do zadania pn. "Modernizacja wystawy stałej "Na co dzień i od święta" w Muzeum Etnograficznym - Oddział Muzeum Okręgowego w Rzeszowie".</t>
  </si>
  <si>
    <t>Realizacja zadania inwestycyjnego pn.: wkład własny do projektu pn. "Restauracja dworu z Brzezin w Parku Etnograficznym Muzeum Kultury Ludowej w Kolbuszowej".</t>
  </si>
  <si>
    <t>Plan dochodów na 2018 r. według działów, rozdziałów, paragrafów klasyfikacji budżetowej oraz źródeł dochodów</t>
  </si>
  <si>
    <t>Rozdz.</t>
  </si>
  <si>
    <t>Źródło pochodzenia</t>
  </si>
  <si>
    <t>Plan na 2018 r.</t>
  </si>
  <si>
    <t>01004</t>
  </si>
  <si>
    <t xml:space="preserve">Biura geodezji i terenów rolnych </t>
  </si>
  <si>
    <t>a) dochody bieżące, w tym:</t>
  </si>
  <si>
    <t xml:space="preserve">Dochody realizowane przez Podkarpackie Biuro Geodezji i Terenów Rolnych w Rzeszowie </t>
  </si>
  <si>
    <t>0830</t>
  </si>
  <si>
    <t>0970</t>
  </si>
  <si>
    <t>b) dochody majątkowe</t>
  </si>
  <si>
    <t xml:space="preserve">Dotacje celowe otrzymane z budżetu państwa na zadania bieżące z zakresu administracji rządowej oraz inne zadania zlecone ustawami realizowane przez samorząd województwa </t>
  </si>
  <si>
    <t>5% dochodów uzyskiwanych na rzecz budżetu państwa w związku z realizacją zadań z zakresu administracji rządowej oraz innych zadań zleconych ustawami</t>
  </si>
  <si>
    <t>b) dochody majątkowe, w tym:</t>
  </si>
  <si>
    <t xml:space="preserve">Dotacje celowe otrzymane z budżetu państwa na inwestycje i zakupy inwestycyjne z zakresu administracji rządowej oraz inne zadania zlecone ustawami realizowane przez samorząd województwa </t>
  </si>
  <si>
    <t>Dotacje celowe otrzymane z budżetu państwa na inwestycje i zakupy inwestycyjne z zakresu administracji rządowej oraz inne zadania zlecone ustawami realizowane przez samorząd województwa - wydatki niekwalifikowalne na realizację inwestycji melioracyjnych w ramach Regionalnego Programu Operacyjnego Województwa Podkarpackiego na lata 2014-2020</t>
  </si>
  <si>
    <t>Program Rozwoju Obszarów Wiejskich</t>
  </si>
  <si>
    <t>Dotacja celowa z budżetu państwa na finansowanie wydatków objętych Pomocą Techniczną Programu Rozwoju Obszarów Wiejskich na lata 2014 - 2020</t>
  </si>
  <si>
    <t>Dotacja celowa z budżetu państwa na współfinansowanie wydatków objętych Pomocą Techniczną Programu Rozwoju Obszarów Wiejskich na lata 2014 - 2020</t>
  </si>
  <si>
    <t>Wyłączenie z produkcji gruntów rolnych</t>
  </si>
  <si>
    <t>Wpływy z tytułu opłat za wyłączenie z produkcji gruntów rolnych</t>
  </si>
  <si>
    <t>0690</t>
  </si>
  <si>
    <t xml:space="preserve">RYBOŁÓWSTWO I RYBACTWO </t>
  </si>
  <si>
    <t>Program Operacyjny Zrównoważony rozwój sektora rybołówstwa i nadbrzeżnych obszarów rybackich 2007 - 2013 oraz Program Operacyjny Rybactwo i Morze 2014 - 2020</t>
  </si>
  <si>
    <t>Dotacja celowa z budżetu państwa na finansowanie wydatków objętych Pomocą Techniczną Programu Operacyjnego Rybactwo i Morze 2014 - 2020</t>
  </si>
  <si>
    <t>Dotacja celowa z budżetu państwa na współfinansowanie wydatków objętych Pomocą Techniczną Programu Operacyjnego Rybactwo i Morze 2014 - 2020</t>
  </si>
  <si>
    <t xml:space="preserve">b) dochody majątkowe </t>
  </si>
  <si>
    <t>Dzierżawa autobusów szynowych</t>
  </si>
  <si>
    <t>0750</t>
  </si>
  <si>
    <t>Zwrot podatku VAT od dostaw pojazdów szynowych</t>
  </si>
  <si>
    <t>Dotacje otrzymane z państwowych funduszy celowych na realizację zadań bieżących jednostek sektora finansów publicznych</t>
  </si>
  <si>
    <t>2440</t>
  </si>
  <si>
    <t>Infrastruktura kolejowa</t>
  </si>
  <si>
    <t>a) dochody bieżące</t>
  </si>
  <si>
    <t>Środki pochodzące z budżetu Unii Europejskiej na realizację zadania pn.: "Budowa Podmiejskiej Kolei Aglomeracyjnej - PKA": budowa zaplecza technicznego w ramach Programu Operacyjnego Infrastruktura i Środowisko na lata 2014 - 2020</t>
  </si>
  <si>
    <t>Lokalny transport zbiorowy</t>
  </si>
  <si>
    <t xml:space="preserve">Opłaty za wydawanie zezwoleń na regularny przewóz osób </t>
  </si>
  <si>
    <t>0620</t>
  </si>
  <si>
    <t>Drogi publiczne wojewódzkie</t>
  </si>
  <si>
    <t>Dochody realizowane przez Podkarpacki Zarząd Dróg Wojewódzkich w Rzeszowie</t>
  </si>
  <si>
    <t>Dotacja celowa z budżetu państwa z przeznaczeniem na dofinansowanie zadań z zakresu remontu, utrzymania i zarządzania drogami wojewódzkimi</t>
  </si>
  <si>
    <t>2230</t>
  </si>
  <si>
    <t>Środki pochodzące z budżetu Unii Europejskiej na realizację inwestycji drogowych w ramach Programu Operacyjnego Polska Wschodnia na lata 2014-2020</t>
  </si>
  <si>
    <t>Środki pochodzące z budżetu Unii Europejskiej jako refundacja wydatków poniesionych ze środków własnych na realizację inwestycji drogowych w ramach Programu Operacyjnego Polska Wschodnia na lata 2014-2020</t>
  </si>
  <si>
    <t>Dotacja celowa otrzymana z tytułu pomocy finansowej udzielanej między jednostkami samorządu terytorialnego na dofinansowanie własnych zadań inwestycyjnych i zakupów inwestycyjnych</t>
  </si>
  <si>
    <t xml:space="preserve">Dochody z tytułu opłat za wpis do rejestru przedsiębiorców prowadzących pracownię psychologiczną, za wpis do ewidencji uprawnionych psychologów, za wpis do ewidencji uprawnionych lekarzy </t>
  </si>
  <si>
    <t>GOSPODARKA MIESZKANIOWA</t>
  </si>
  <si>
    <t>Gospodarka gruntami i nieruchomościami</t>
  </si>
  <si>
    <t>Opłaty za trwały zarząd, użytkowanie i służebność</t>
  </si>
  <si>
    <t>0470</t>
  </si>
  <si>
    <t>Wpływy z opłat z tytułu użytkowania wieczystego nieruchomości</t>
  </si>
  <si>
    <t>0550</t>
  </si>
  <si>
    <t xml:space="preserve">Dochody z najmu i dzierżawy składników majątkowych </t>
  </si>
  <si>
    <t>Wpływy z tytułu przekształcenia prawa użytkowania wieczystego w prawo własności</t>
  </si>
  <si>
    <t>0760</t>
  </si>
  <si>
    <t>Dochody ze sprzedaży mienia będącego w zasobie Województwa.
Wykaz nieruchomości do sprzedaży:
1) Działki okołolotniskowe - 9.000.000,-zł,
2) Działka nr 641/1 o pow. 0,0722 ha, położona w Brzozowie - 10.000,-zł,
3) Nieruchomość składająca się z działki nr 176/22 o pow. 0,0388 ha i działki nr 176/23 o pow. 0,0494 ha, położona przy ul. Zajęczej w Rzeszowie - 200.000,-zł,
4) Nieruchomość lokalowa położona w budynku biurowym przy ul. Lisa Kuli 20 w Rzeszowie - 1.365.500,-zł.</t>
  </si>
  <si>
    <t>0770</t>
  </si>
  <si>
    <t>Biura planowania przestrzennego</t>
  </si>
  <si>
    <t xml:space="preserve">Dochody realizowane przez Podkarpackie Biuro Planowania Przestrzennego w Rzeszowie </t>
  </si>
  <si>
    <t xml:space="preserve">Dochody realizowane przez Wojewódzki Ośrodek Dokumentacji Geodezyjnej i Kartograficznej w Rzeszowie </t>
  </si>
  <si>
    <t>2210</t>
  </si>
  <si>
    <t>NAUKA</t>
  </si>
  <si>
    <t>Środki pochodzące z budżetu Unii Europejskiej jako refundacja wydatków poniesionych ze środków własnych na realizację projektu pn. "Żywe laboratorium polityki publicznej" w ramach Programu INTERREG EUROPA 2014-2020</t>
  </si>
  <si>
    <t xml:space="preserve">Dotacje celowe z budżetu państwa na zadania bieżące z zakresu administracji rządowej oraz inne zadania zlecone ustawami realizowane przez samorząd województwa </t>
  </si>
  <si>
    <t>Urzędy marszałkowskie</t>
  </si>
  <si>
    <t>Dochody realizowane przez Urząd Marszałkowski Województwa Podkarpackiego</t>
  </si>
  <si>
    <t>0640</t>
  </si>
  <si>
    <t>0940</t>
  </si>
  <si>
    <t>0950</t>
  </si>
  <si>
    <t xml:space="preserve">Dotacje celowe otrzymane z budżetu państwa na realizację bieżących zadań własnych samorządu województwa </t>
  </si>
  <si>
    <t>Środki pochodzące z budżetu Unii Europejskiej jako refundacja wydatków poniesionych ze środków własnych na realizację projektu pn. "Szlak Maryjny (Światło ze Wschodu)" w ramach Programu Współpracy Transgranicznej INTERREG V-A Polska - Słowacja 2014-2020</t>
  </si>
  <si>
    <t>Środki pochodzące z budżetu Unii Europejskiej jako refundacja wydatków poniesionych ze środków własnych na realizację projektu pn. "Szlak Kultury Wołoskiej" w ramach Programu Współpracy Transgranicznej INTERREG V-A Polska - Słowacja 2014-2020</t>
  </si>
  <si>
    <t>Środki pochodzące z budżetu Unii Europejskiej jako refundacja wydatków poniesionych ze środków własnych na realizację projektu pn. "Szlakiem obiektów UNESCO na pograniczu polsko - słowackim" w ramach Programu Współpracy Transgranicznej INTERREG V-A Polska - Słowacja 2014-2020</t>
  </si>
  <si>
    <t>Środki pochodzące z budżetu Unii Europejskiej jako refundacja wydatków poniesionych ze środków własnych na realizację projektu pn. "W sercu Karpat - granica, która łączy" w ramach Programu Współpracy Transgranicznej INTERREG V-A Polska - Słowacja 2014-2020</t>
  </si>
  <si>
    <t>Środki pochodzące z budżetu Unii Europejskiej na realizację projektu pn. „Punkty Informacyjne Funduszy Europejskich” w ramach Programu Operacyjnego Pomoc Techniczna na lata 2014-2020</t>
  </si>
  <si>
    <t>Środki pochodzące z budżetu Unii Europejskiej na realizację projektu pn."Projekt wsparcia jednostek samorządu terytorialnego w opracowaniu lub aktualizacji programów rewitalizacji" w ramach Programu Operacyjnego Pomoc Techniczna na lata 2014-2020</t>
  </si>
  <si>
    <t>Dotacja celowa z budżetu państwa na realizację projektu pn. „Punkty Informacyjne Funduszy Europejskich” w ramach Programu Operacyjnego Pomoc Techniczna na lata 2014-2020</t>
  </si>
  <si>
    <t>Dotacja celowa z budżetu państwa na realizację projektu pn. "Projekt wsparcia jednostek samorządu terytorialnego w opracowaniu lub aktualizacji programów rewitalizacji" w ramach Programu Operacyjnego Pomoc Techniczna na lata 2014-2020</t>
  </si>
  <si>
    <t>Środki pochodzące z budżetu Unii Europejskiej jako refundacja wydatków poniesionych ze środków własnych na realizację projektu pn. "Partnerstwo dla wspólnego rozwoju" w ramach Pomocy Technicznej Programu Współpracy Transgranicznej INTERREG V-A Polska - Słowacja 2014-2020</t>
  </si>
  <si>
    <t>Środki pochodzące z budżetu Unii Europejskiej na realizację projektu pn.: "Realizacja Kontraktu Usługowego dotyczącego ustanowienia Oddziału Programu Współpracy Transgranicznej EIS Polska - Białoruś - Ukraina 2014-2020 w Rzeszowie" w ramach Programu Współpracy Transgranicznej Polska - Białoruś - Ukraina 2014-2020</t>
  </si>
  <si>
    <t>Dotacja celowa z budżetu państwa jako refundacja wydatków poniesionych ze środków własnych na realizację projektu pn. "Partnerstwo dla wspólnego rozwoju" w ramach Pomocy Technicznej Programu Współpracy Transgranicznej INTERREG V-A Polska - Słowacja 2014-2020</t>
  </si>
  <si>
    <t>DOCHODY OD OSÓB PRAWNYCH, OD OSÓB FIZYCZNYCH I OD INNYCH JEDNOSTEK NIE POSIADAJĄCYCH OSOBOWOŚCI PRAWNEJ ORAZ WYDATKI ZWIĄZANE Z ICH POBOREM</t>
  </si>
  <si>
    <t>Wpływy z innych opłat stanowiących dochody jednostek samorządu terytorialnego na podstawie ustaw</t>
  </si>
  <si>
    <t>Opłaty eksploatacyjne za wydobywanie węglowodorów ze złóż zlokalizowanych na terenie województwa podkarpackiego</t>
  </si>
  <si>
    <t>0460</t>
  </si>
  <si>
    <t>Opłaty za zezwolenia na hurtową sprzedaż alkoholu</t>
  </si>
  <si>
    <t>0480</t>
  </si>
  <si>
    <t>Opłaty koncesyjne za poszukiwanie lub rozpoznawanie złóż węglowodorów oraz za wydobywanie węglowodorów ze złóż na terenie województwa podkarpackiego</t>
  </si>
  <si>
    <t>0590</t>
  </si>
  <si>
    <t>Dochody realizowane przez Wojewódzki Urząd Pracy w Rzeszowie</t>
  </si>
  <si>
    <t>Udziały województw w podatkach stanowiących dochód budżetu państwa</t>
  </si>
  <si>
    <t>Udział w podatku dochodowym od osób fizycznych</t>
  </si>
  <si>
    <t>0010</t>
  </si>
  <si>
    <t>Udział w podatku dochodowym od osób prawnych</t>
  </si>
  <si>
    <t>0020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</si>
  <si>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</si>
  <si>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</si>
  <si>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</si>
  <si>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województw</t>
  </si>
  <si>
    <t>Różne rozliczenia finansowe</t>
  </si>
  <si>
    <t>Odsetki od środków na rachunkach bankowych oraz lokat terminowych</t>
  </si>
  <si>
    <t>0920</t>
  </si>
  <si>
    <t>Część regionalna subwencji ogólnej dla województw</t>
  </si>
  <si>
    <t>2920</t>
  </si>
  <si>
    <t>Regionalne Programy Operacyjne 2014 - 2020 finansowane 
z udziałem środków Europejskiego Funduszu Rozwoju Regionalnego</t>
  </si>
  <si>
    <t>Środki pochodzące z budżetu Unii Europejskiej na realizację projektów własnych w ramach Regionalnego Programu Operacyjnego Województwa Podkarpackiego na lata 2014 - 2020</t>
  </si>
  <si>
    <t>Dotacja celowa z budżetu państwa na współfinansowanie projektów realizowanych w ramach  Regionalnego Programu Operacyjnego Województwa Podkarpackiego na lata 2014 - 2020</t>
  </si>
  <si>
    <t>Środki pochodzące z budżetu Unii Europejskiej jako refundacja wydatków poniesionych ze środków własnych na realizację projektów własnych w ramach Regionalnego Programu Operacyjnego Województwa Podkarpackiego na lata 2014 - 2020</t>
  </si>
  <si>
    <t>Dotacja celowa z budżetu państwa na współfinansowanie projektów własnych realizowanych w ramach Regionalnego Programu Operacyjnego Województwa Podkarpackiego na lata 2014 - 2020</t>
  </si>
  <si>
    <t>Regionalne Programy Operacyjne 2014 - 2020 finansowane 
z udziałem środków Europejskiego Funduszu Społecznego</t>
  </si>
  <si>
    <t>Dotacja celowa z budżetu państwa na współfinansowanie projektów własnych i realizowanych przez beneficjentów w ramach Regionalnego Programu Operacyjnego Województwa Podkarpackiego na lata 2014 - 2020</t>
  </si>
  <si>
    <t>Dotacja celowa z budżetu państwa na finansowanie wydatków objętych Pomocą Techniczną Regionalnego Programu Operacyjnego Województwa Podkarpackiego na lata 2014 - 2020</t>
  </si>
  <si>
    <t>Dotacja celowa z budżetu państwa na współfinansowanie projektów własnych w ramach Regionalnego Programu Operacyjnego Województwa Podkarpackiego na lata 2014 - 2020</t>
  </si>
  <si>
    <t xml:space="preserve">Dotacja celowa z budżetu państwa na finansowanie wydatków objętych Pomocą Techniczną Regionalnego Programu Operacyjnego Województwa Podkarpackiego na lata 2014 – 2020 </t>
  </si>
  <si>
    <t>OŚWIATA I WYCHOWANIE</t>
  </si>
  <si>
    <t>Szkoły podstawowe specjalne</t>
  </si>
  <si>
    <t>Dochody realizowane przez jednostki oświatowe</t>
  </si>
  <si>
    <t>Szkoły zawodowe</t>
  </si>
  <si>
    <t>Dokształcanie i doskonalenie nauczycieli</t>
  </si>
  <si>
    <t>Środki pochodzące z budżetu Unii Europejskiej na realizację projektu pn.: "Razem odkryjmy świat programowania - szkolenia dla nauczycieli i uczniów z podregionu rzeszowskiego" w ramach Programu Operacyjnego Polska Cyfrowa na lata 2014 - 2020</t>
  </si>
  <si>
    <t>Środki pochodzące z budżetu Unii Europejskiej na realizację projektu pn.: "Razem odkryjmy świat programowania - szkolenia dla nauczycieli i uczniów z podregionu przemyskiego" w ramach Programu Operacyjnego Polska Cyfrowa na lata 2014 - 2020</t>
  </si>
  <si>
    <t>Dotacja celowa z budżetu państwa na realizację projektu pn.: "Razem odkryjmy świat programowania - szkolenia dla nauczycieli i uczniów z podregionu przemyskiego" w ramach Programu Operacyjnego Polska Cyfrowa na lata 2014 - 2020</t>
  </si>
  <si>
    <t>Dotacja celowa z budżetu państwa na realizację projektu pn.: "Razem odkryjmy świat programowania - szkolenia dla nauczycieli i uczniów z podregionu rzeszowskiego" w ramach Programu Operacyjnego Polska Cyfrowa na lata 2014 - 2020</t>
  </si>
  <si>
    <t>Biblioteki pedagogiczne</t>
  </si>
  <si>
    <t xml:space="preserve">Dochody realizowane przez jednostki oświatowe </t>
  </si>
  <si>
    <t>OCHRONA ZDROWIA</t>
  </si>
  <si>
    <t>Dotacje celowe otrzymane z budżetu państwa na inwestycje i zakupy inwestycyjne z zakresu administracji rządowej oraz inne zadania zlecone ustawami realizowane przez samorząd województwa</t>
  </si>
  <si>
    <t>Lecznictwo psychiatryczne</t>
  </si>
  <si>
    <t>Zwrot dotacji wykorzystanych niezgodnie z przeznaczeniem, pobranych nienależnie lub w nadmiernej wysokości przez samodzielne publiczne zakłady opieki zdrowotnej</t>
  </si>
  <si>
    <t>POMOC SPOŁECZNA</t>
  </si>
  <si>
    <t>Zadania w zakresie przeciwdziałania przemocy w rodzinie</t>
  </si>
  <si>
    <t>Dotacje celowe otrzymane z budżetu państwa na realizację bieżących zadań własnych samorządu województwa</t>
  </si>
  <si>
    <t>Regionalne ośrodki polityki społecznej</t>
  </si>
  <si>
    <t>Dochody realizowane przez Regionalny Ośrodek Polityki Społecznej w Rzeszowie</t>
  </si>
  <si>
    <t>Środki pochodzące z budżetu Unii Europejskiej jako refundacja wydatków poniesionych ze środków własnych na realizację projektu pn. "CE 985 SENTINEL - rozwój i umacnianie pozycji przedsiębiorstw społecznych w celu maksymalnego zwiększenia ich wpływu na sektor ekonomiczny i społeczny w państwach Europy Środkowej" w ramach programu Interreg Europa Środkowa na lata 2014 - 2020</t>
  </si>
  <si>
    <t>Państwowy Fundusz Rehabilitacji Osób Niepełnosprawnych</t>
  </si>
  <si>
    <t xml:space="preserve">Wpływ 2,5% odpisu ze środków Państwowego Funduszu Rehabilitacji Osób Niepełnosprawnych </t>
  </si>
  <si>
    <t>Wojewódzkie Urzędy Pracy</t>
  </si>
  <si>
    <t>Dotacja celowa z budżetu państwa na współfinansowanie projektów w ramach Programu Operacyjnego Wiedza, Edukacja, Rozwój 2014 - 2020</t>
  </si>
  <si>
    <t>Dotacja celowa z budżetu państwa na finansowanie wydatków objętych Pomocą Techniczną Programu Operacyjnego Wiedza, Edukacja, Rozwój 2014 - 2020</t>
  </si>
  <si>
    <t>Środki z Funduszu Gwarantowanych Świadczeń Pracowniczych</t>
  </si>
  <si>
    <t>Wspieranie rodziny</t>
  </si>
  <si>
    <t>Środki pochodzące z budżetu Unii Europejskiej na realizację projektu pn. „Bliżej rodziny - szkolenia dla kadr systemów wspierania rodziny i pieczy zastępczej” w ramach Programu Operacyjnego Wiedza Edukacja Rozwój na lata 2014-2020</t>
  </si>
  <si>
    <t>Dotacja celowa z budżetu państwa na realizację projektu pn.:  „Bliżej rodziny - szkolenia dla kadr systemów wspierania rodziny i pieczy zastępczej” w ramach Programu Operacyjnego Wiedza Edukacja Rozwój na lata 2014-2020</t>
  </si>
  <si>
    <t>Działalność ośrodków adopcyjnych</t>
  </si>
  <si>
    <t>Działalność placówek opiekuńczo - wychowawczych</t>
  </si>
  <si>
    <t>Dotacje celowe otrzymane z powiatu na zadania bieżące realizowane na podstawie porozumień (umów) między jednostkami samorządu terytorialnego</t>
  </si>
  <si>
    <t>2320</t>
  </si>
  <si>
    <t>GOSPODARKA KOMUNALNA I OCHRONA ŚRODOWISKA</t>
  </si>
  <si>
    <t>Wpływy i wydatki związane z gromadzeniem środków z opłat i kar za korzystanie ze środowiska</t>
  </si>
  <si>
    <t xml:space="preserve">3% wpływu z tytułu opłat za korzystanie ze środowiska </t>
  </si>
  <si>
    <t>Wpływy i wydatki związane z gromadzeniem środków z opłat produktowych</t>
  </si>
  <si>
    <t xml:space="preserve">2% i 10% wpływu z tytułu opłaty produktowej oraz dodatkowej opłaty produktowej </t>
  </si>
  <si>
    <t>0400</t>
  </si>
  <si>
    <t xml:space="preserve">5 % wpływu z tytułu opłat za nieosiągnięcie wymaganego poziomu odzysku i recyklingu odpadów pochodzących z pojazdów wycofanych z eksploatacji </t>
  </si>
  <si>
    <t>0530</t>
  </si>
  <si>
    <t xml:space="preserve">10% wpływu z tytułu opłaty produktowej oraz dodatkowej opłaty produktowej </t>
  </si>
  <si>
    <t xml:space="preserve">Wpływy i wydatki związane z wprowadzeniem do obrotu baterii i akumulatorów </t>
  </si>
  <si>
    <t>5% wpływu z tytułu opłat za wprowadzanie do obrotu baterii i akumulatorów</t>
  </si>
  <si>
    <t xml:space="preserve">Biblioteki </t>
  </si>
  <si>
    <t xml:space="preserve">Dotacje celowe otrzymane z gminy na zadania bieżące realizowane na podstawie porozumień (umów) między jednostkami samorządu terytorialnego </t>
  </si>
  <si>
    <t>Dotacje celowe otrzymane z powiatu na zadania realizowane na podstawie porozumień (umów) między jednostkami samorządu terytorialnego</t>
  </si>
  <si>
    <t>Środki pochodzące z budżetu Unii Europejskiej jako refundacja wydatków poniesionych ze środków własnych na realizację projektu pn.: "CRinMA- Cultural Resources in the Mountain Area" w ramach Programu Interreg Europa na lata 2014 - 2020</t>
  </si>
  <si>
    <t>OGRODY BOTANICZNE I ZOOLOGICZNE ORAZ NATURALNE OBSZARY I OBIEKTY CHRONIONEJ PRZYRODY</t>
  </si>
  <si>
    <t>Parki krajobrazowe</t>
  </si>
  <si>
    <t>dochody bieżące</t>
  </si>
  <si>
    <t>dochody majątkowe</t>
  </si>
  <si>
    <t>Plan wydatków na 2018 r. według działów, rozdziałów, paragrafów klasyfikacji budżetowej</t>
  </si>
  <si>
    <t>Wyszczególnienie</t>
  </si>
  <si>
    <t>Rolnictwo i łowiectwo</t>
  </si>
  <si>
    <t>Biura geodezji i terenów rolnych</t>
  </si>
  <si>
    <t>wydatki bieżące:</t>
  </si>
  <si>
    <t>wydatki jednostek budżetowych w tym na:</t>
  </si>
  <si>
    <t xml:space="preserve"> - wynagrodzenia i składki od nich naliczane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</si>
  <si>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</si>
  <si>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</si>
  <si>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</si>
  <si>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</si>
  <si>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</si>
  <si>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</si>
  <si>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</si>
  <si>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</si>
  <si>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</si>
  <si>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 xml:space="preserve"> - wydatki związane z realizacją zadań statutowych jednostek budżetowych</t>
  </si>
  <si>
    <t>4140</t>
  </si>
  <si>
    <t>Wpłaty na Państwowy Fundusz Rehabilitacji Osób Niepełnosprawnych</t>
  </si>
  <si>
    <t>4210</t>
  </si>
  <si>
    <t>Zakup materiałów i wyposażenia</t>
  </si>
  <si>
    <t>4220</t>
  </si>
  <si>
    <t>Zakup środków żywności</t>
  </si>
  <si>
    <t>4260</t>
  </si>
  <si>
    <t>Zakup energii</t>
  </si>
  <si>
    <t>4270</t>
  </si>
  <si>
    <t>Zakup usług remontowych</t>
  </si>
  <si>
    <t>4280</t>
  </si>
  <si>
    <t>Zakup usług zdrowotnych</t>
  </si>
  <si>
    <t>Zakup usług pozostałych</t>
  </si>
  <si>
    <t>4360</t>
  </si>
  <si>
    <t>Opłaty z tytułu zakupu usług telekomunikacyjnych</t>
  </si>
  <si>
    <t>4390</t>
  </si>
  <si>
    <t>Zakup usług obejmujących wykonanie ekspertyz, analiz i opinii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</si>
  <si>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</si>
  <si>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</si>
  <si>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</si>
  <si>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</si>
  <si>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</si>
  <si>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</si>
  <si>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</si>
  <si>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</si>
  <si>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</si>
  <si>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</si>
  <si>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4510</t>
  </si>
  <si>
    <t>Opłaty na rzecz budżetu państwa</t>
  </si>
  <si>
    <t>4520</t>
  </si>
  <si>
    <t>Opłaty na rzecz budżetów jednostek samorządu terytorialnego</t>
  </si>
  <si>
    <t>4530</t>
  </si>
  <si>
    <t>Podatek od towarów i usług (VAT)</t>
  </si>
  <si>
    <t>4700</t>
  </si>
  <si>
    <t xml:space="preserve">Szkolenia pracowników niebędących członkami korpusu służby cywilnej </t>
  </si>
  <si>
    <t>świadczenia na rzecz osób fizycznych:</t>
  </si>
  <si>
    <t>3020</t>
  </si>
  <si>
    <t>Wydatki osobowe niezaliczone do wynagrodzeń</t>
  </si>
  <si>
    <t>wydatki majątkowe:</t>
  </si>
  <si>
    <t>inwestycje i zakupy inwestycyjne</t>
  </si>
  <si>
    <t>Wydatki inwestycyjne jednostek budżetowych</t>
  </si>
  <si>
    <t>01006</t>
  </si>
  <si>
    <t>Zarządy melioracji i urządzeń wodnych</t>
  </si>
  <si>
    <t>4500</t>
  </si>
  <si>
    <t>Pozostałe podatki na rzecz budżetów jednostek samorządu terytorialnego</t>
  </si>
  <si>
    <t>- wydatki na programy finansowane z udziałem środków UE i źródeł zagranicznych</t>
  </si>
  <si>
    <t xml:space="preserve">Program Rozwoju Obszarów Wiejskich </t>
  </si>
  <si>
    <t>wydatki na programy finansowane z udziałem środków UE i źródeł zagranicznych</t>
  </si>
  <si>
    <t>Nagrody konkursowe</t>
  </si>
  <si>
    <t>dotacje na zadania bieżące:</t>
  </si>
  <si>
    <t>2310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</si>
  <si>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</si>
  <si>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</si>
  <si>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Wydatki na zakupy inwestycyjne jednostek budżetowych</t>
  </si>
  <si>
    <t>6610</t>
  </si>
  <si>
    <t>Dotacje celowe przekazane gminie na inwestycje i zakupy inwestycyjne realizowane na podstawie porozumień (umów) między jednostkami samorządu terytorialnego</t>
  </si>
  <si>
    <t>6620</t>
  </si>
  <si>
    <t>Dotacje celowe przekazane dla powiatu na inwestycje i zakupy inwestycyjne realizowane na podstawie porozumień (umów) między jednostkami samorządu terytorialnego</t>
  </si>
  <si>
    <t>4190</t>
  </si>
  <si>
    <t>4610</t>
  </si>
  <si>
    <t>Koszty postępowania sądowego i prokuratorskiego</t>
  </si>
  <si>
    <t>2360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</si>
  <si>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</si>
  <si>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Rybołówstwo i rybactwo</t>
  </si>
  <si>
    <t>Program Operacyjny Zrównoważony rozwój sektora rybołówstwa i nadbrzeżnych obszarów rybackich 2007-2013 oraz Program Operacyjny Rybactwo i Morze 2014-2020</t>
  </si>
  <si>
    <t>Zakup usług obejmujących wykonywanie ekspertyz, analiz i opinii</t>
  </si>
  <si>
    <t>150</t>
  </si>
  <si>
    <t>Przetwórstwo przemysłowe</t>
  </si>
  <si>
    <t>Rozwój przedsiębiorczości</t>
  </si>
  <si>
    <t>Dotacje celowe w ramach programów finansowanych z udziałem środków europejskich oraz środków, o których mowa w art. 5 ust. 1 pkt. 3 oraz ust. 3 pkt. 5 i 6 ustawy, lub płatności w ramach budżetu środków europejskich, z wyłączeniem wydatków klasyfikowanych w paragrafie 205</t>
  </si>
  <si>
    <t>Dotacje celowe w ramach programów finansowanych z udziałem środków europejskich oraz środków, o których mowa w art.. 5 ust. 3 pkt 5 lit. a i b ustawy, lub płatności w ramach budżetu środków europejskich, realizowanych przez jednostki samorządu terytorialnego</t>
  </si>
  <si>
    <t>Dotacje celowe w ramach programów finansowanych z udziałem środków europejskich oraz środków, o których mowa w art. 5 ust. 1 pkt. 3 oraz ust. 3 pkt. 5 i 6 ustawy, lub płatności w ramach budżetu środków europejskich, z wyłączeniem wydatków klasyfikowanych w paragrafie 625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</si>
  <si>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</si>
  <si>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Rozwój kadr nowoczesnej gospodarki i przedsiębiorczości</t>
  </si>
  <si>
    <t>Dotacje celowe w ramach programów finansowanych z udziałem środków europejskich oraz środków, o których mowa w art. 5 ust. 1 pkt. 3 oraz ust. 3 pkt. 5 i 6 ustawy, lub płatności w ramach budżetu środków europejskich</t>
  </si>
  <si>
    <t>500</t>
  </si>
  <si>
    <t>Handel</t>
  </si>
  <si>
    <t>50005</t>
  </si>
  <si>
    <t>Promocja eksportu</t>
  </si>
  <si>
    <t>Transport i łączność</t>
  </si>
  <si>
    <t>2710</t>
  </si>
  <si>
    <t>Dotacja celowa na pomoc finansową udzielaną między jednostkami samorządu terytorailnego na dofiannsowanie własnych zadań bieżących</t>
  </si>
  <si>
    <t>2830</t>
  </si>
  <si>
    <t>Dotacja celowa z budżetu na finansowanie lub dofinansowanie zadań zleconych do realizacji pozostałym jednostkom niezaliczanym do sektora finansów publicznych</t>
  </si>
  <si>
    <t>6069</t>
  </si>
  <si>
    <t xml:space="preserve">Dotacja przedmiotowa z budżetu dla jednostek niezaliczanych do sektora finansów publicznych </t>
  </si>
  <si>
    <t>60004</t>
  </si>
  <si>
    <t>4420</t>
  </si>
  <si>
    <t>Podróże służbowe zagraniczne</t>
  </si>
  <si>
    <t>4590</t>
  </si>
  <si>
    <t>Kary i odszkodowania wypłacane na rzecz osób fizycznych</t>
  </si>
  <si>
    <t xml:space="preserve"> inwestycje i zakupy inwestycyjne</t>
  </si>
  <si>
    <t>Drogi publiczne powiatowe</t>
  </si>
  <si>
    <t>Wydatki majątkowe:</t>
  </si>
  <si>
    <t xml:space="preserve"> - inwestycyjne i zakupy inwestycyjne</t>
  </si>
  <si>
    <t>6300</t>
  </si>
  <si>
    <t>Dotacja celowa na pomoc finansową  udzielaną między jednostkami samorządu terytorialnego na dofinansowanie własnych zadan inwestycyjnych i zakupów inwestycyjnych</t>
  </si>
  <si>
    <t>Turystyka</t>
  </si>
  <si>
    <t>Zadania w zakresie upowszechniania turystyki</t>
  </si>
  <si>
    <t xml:space="preserve">Dotacje celowe z budżetu jednostki samorządu terytorialnego, udzielone w trybie art. 221 ustawy, na finansowanie lub dofinansowanie zadań zleconych do realizacji organizacjom prowadzącym działalność pożytku publicznego </t>
  </si>
  <si>
    <t>700</t>
  </si>
  <si>
    <t>Gospodarka mieszkaniowa</t>
  </si>
  <si>
    <t>70005</t>
  </si>
  <si>
    <t>Działalność usługowa</t>
  </si>
  <si>
    <t>71003</t>
  </si>
  <si>
    <t>Zakup środków żywnościowych</t>
  </si>
  <si>
    <t>4240</t>
  </si>
  <si>
    <t>Zakup środków dydaktycznych i książek</t>
  </si>
  <si>
    <t>Opłata z tytułu zakupu usług telekomunikacyjnych</t>
  </si>
  <si>
    <t>Informatyka</t>
  </si>
  <si>
    <t>6257</t>
  </si>
  <si>
    <t>Nauka</t>
  </si>
  <si>
    <t>Zakup usług obejmujących tłumaczenia</t>
  </si>
  <si>
    <t>Administracja publiczna</t>
  </si>
  <si>
    <t>75017</t>
  </si>
  <si>
    <t>Samorządowe sejmiki województw</t>
  </si>
  <si>
    <t>3030</t>
  </si>
  <si>
    <t xml:space="preserve">Różne wydatki na rzecz osób fizycznych </t>
  </si>
  <si>
    <t>4380</t>
  </si>
  <si>
    <t>Różne wydatki na rzecz osób fizycznych</t>
  </si>
  <si>
    <t>Opłaty z tytułu zakupu usług telekomunikacyjnych świadczonych w ruchomej publicznej sieci telefonicznej</t>
  </si>
  <si>
    <t>Dotacje celowe przekazane do samorządu województwa na zadania bieżące realizowane na podstawie porozumień (umów) między jednostkami samorządu terytorialnego</t>
  </si>
  <si>
    <t>Szkolenia pracowników niebędących członkami korpusu służby cywilnej</t>
  </si>
  <si>
    <t>4540</t>
  </si>
  <si>
    <t>Składki dla organizacji międzynarodowych</t>
  </si>
  <si>
    <t>Dotacja celowa z budżetu na finansowanie lub dofinansowanie zadań zleconych do realizacji pozostałym jednostkom nie zaliczanym do sektora finansów publicznych</t>
  </si>
  <si>
    <t>świadczenia na rzecz osób fizycznych</t>
  </si>
  <si>
    <t>Dotacje celowe w ramach programów finansowanych z udziałem środków europejskich oraz środków, o których mowa w art. 5 ust. 1 pkt 3 oraz ust.3 pkt 5 i 6 ustawy, lub płatności w ramach budżetu środków europejskich, z wyłączeniem wydatków klasyfikowanych w paragrafie 205</t>
  </si>
  <si>
    <t>6230</t>
  </si>
  <si>
    <t>Dotacje celowe z budżetu na finansowanie lub dofinansowanie kosztów realizacji inwestycji i zakupów inwestycyjnych jednostek niezaliczanych do sektora finansów publicznych</t>
  </si>
  <si>
    <t>Bezpieczeństwo publiczne i ochrona przeciwpożarowa</t>
  </si>
  <si>
    <t>Komendy wojewódzkie Policji</t>
  </si>
  <si>
    <t>6170</t>
  </si>
  <si>
    <t>Wpłaty jednostek na państwowy fundusz celowy na finansowanie lub dofinansowanie zadań inwestycyjnych</t>
  </si>
  <si>
    <t>Straż Graniczna</t>
  </si>
  <si>
    <t>3000</t>
  </si>
  <si>
    <t>Wpłaty jednostek na państwowy fundusz celowy</t>
  </si>
  <si>
    <t>Komendy wojewódzkie Państwowej Straży Pożarnej</t>
  </si>
  <si>
    <t>75415</t>
  </si>
  <si>
    <t>Zadania ratownictwa górskiego i wodnego</t>
  </si>
  <si>
    <t>757</t>
  </si>
  <si>
    <t>Obsługa długu publicznego</t>
  </si>
  <si>
    <t>75702</t>
  </si>
  <si>
    <t>Obsługa papierów wartościowych, kredytów i pożyczek jednostek samorządu terytorialnego</t>
  </si>
  <si>
    <t>obsługa długu JST</t>
  </si>
  <si>
    <t>8110</t>
  </si>
  <si>
    <t>Odsetki od samorządowych papierów wartościowych lub zaciągniętych przez jednostkę samorządu terytorialnego kredytów i pożyczek</t>
  </si>
  <si>
    <t>75704</t>
  </si>
  <si>
    <t>Rozliczenia z tytułu poręczeń i gwarancji udzielonych przez Skarb Państwa lub jednostkę samorządu terytorialnego</t>
  </si>
  <si>
    <t>wypłaty z tytułu poręczeń i gwarancji:</t>
  </si>
  <si>
    <t>8030</t>
  </si>
  <si>
    <t xml:space="preserve">Wypłaty z tytułu krajowych poręczeń i gwarancji </t>
  </si>
  <si>
    <t>758</t>
  </si>
  <si>
    <t>Różne rozliczenia</t>
  </si>
  <si>
    <t>75818</t>
  </si>
  <si>
    <t>Rezerwy ogólne i celowe</t>
  </si>
  <si>
    <t>4810</t>
  </si>
  <si>
    <t>Rezerwy</t>
  </si>
  <si>
    <t>6800</t>
  </si>
  <si>
    <t>Rezerwy na inwestycje i zakupy inwestycyjne</t>
  </si>
  <si>
    <t>801</t>
  </si>
  <si>
    <t>Oświata i wychowanie</t>
  </si>
  <si>
    <t>80102</t>
  </si>
  <si>
    <t xml:space="preserve">Wynagrodzenia bezosobowe </t>
  </si>
  <si>
    <t>80111</t>
  </si>
  <si>
    <t>Gimnazja specjalne</t>
  </si>
  <si>
    <t>80121</t>
  </si>
  <si>
    <t>Licea ogólnokształcące specjalne</t>
  </si>
  <si>
    <t>Zakup środkow dydaktycznych i książek</t>
  </si>
  <si>
    <t>Zakup usług remontowo-konserwatorskich dotyczących obiektów zabytkowych będących w użytkowaniu jednostek budżetowych</t>
  </si>
  <si>
    <t xml:space="preserve">Opłaty na rzecz budżetów jednostek budżetowych </t>
  </si>
  <si>
    <t>Stypendia dla uczniów</t>
  </si>
  <si>
    <t>4350</t>
  </si>
  <si>
    <t>Zakup usług dostępu do sieci Internet</t>
  </si>
  <si>
    <t>Dotacje celowe w ramach programów finansowanych z udziałem środków europejskich oraz środków, o których mowaw art.. 5 ust. 3 pkt 5 lit a i b ustawy, lub płatności w ramach budżetu środków europejskich, realizowanych przez jednostki samorządu terytorialnego</t>
  </si>
  <si>
    <t>Zakup usług remontowo - konserwatorskich dotyczących obiektów zabytkowych będących w użytkowaniu jednostek budżetowych</t>
  </si>
  <si>
    <t xml:space="preserve">Opłaty z tytułu zakupu usług telekomunikacyjnych </t>
  </si>
  <si>
    <t>80151</t>
  </si>
  <si>
    <t>Kwalifikacyjne kursy zawodowe</t>
  </si>
  <si>
    <t>Dotacje celowe w ramach programów finansowanych z udziałem środków europejskich oraz środków, o których mowa w art. 5 ust. 1 pkt. 3 oraz ust. 3 pkt. 5 i 6 ustawy, lub płatności w ramach budżetu środków europejskich, z wyłączenim wydatków klasyfikowanych w paragrafie 205</t>
  </si>
  <si>
    <t>3040</t>
  </si>
  <si>
    <t>Nagrody o charakterze szczególnym niezaliczone do wynagrodzeń</t>
  </si>
  <si>
    <t>3240</t>
  </si>
  <si>
    <t>803</t>
  </si>
  <si>
    <t>Szkolnictwo wyższe</t>
  </si>
  <si>
    <t>80309</t>
  </si>
  <si>
    <t>Pomoc materialna dla studentów i doktorantów</t>
  </si>
  <si>
    <t>3250</t>
  </si>
  <si>
    <t>Stypendia różne</t>
  </si>
  <si>
    <t>80395</t>
  </si>
  <si>
    <t>Ochrona zdrowia</t>
  </si>
  <si>
    <t>Szpitale ogólne</t>
  </si>
  <si>
    <t>2560</t>
  </si>
  <si>
    <t>Dotacja podmiotowa z budżetu dla samodzielnego publicznego zakładu opieki zdrowotnej utworzonego przez jednostkę samorządu terytorialnego</t>
  </si>
  <si>
    <t>6220</t>
  </si>
  <si>
    <t>Dotacje celowe z budżetu na finansowanie lub dofinansowanie kosztów realizacji inwestycji i zakupów inwestycyjnych innych jednostek sektora finansów publicznych</t>
  </si>
  <si>
    <t>85120</t>
  </si>
  <si>
    <t>85121</t>
  </si>
  <si>
    <t>Lecznictwo ambulatoryjne</t>
  </si>
  <si>
    <t>85148</t>
  </si>
  <si>
    <t>Medycyna pracy</t>
  </si>
  <si>
    <t>Zwalczanie narkomanii</t>
  </si>
  <si>
    <t>Przeciwdziałanie alkoholizmowi</t>
  </si>
  <si>
    <t>4130</t>
  </si>
  <si>
    <t>Składki na ubezpieczenie zdrowotne</t>
  </si>
  <si>
    <t>Pomoc społeczna</t>
  </si>
  <si>
    <t>Dotacje celowe z budżetu jednostki samorządu terytorialnego, udzielone w trybie art.. 221 ustawy, na finansowanie lub dofinansowanie zadań zleconych do realizacji organizacjom prowadzącym działalność pożytku publicznego</t>
  </si>
  <si>
    <t>Powiatowe centra pomocy rodzinie</t>
  </si>
  <si>
    <t>Ośrodki pomocy społecznej</t>
  </si>
  <si>
    <t>6699</t>
  </si>
  <si>
    <t>Zwroty niewykorzystanych dotacji oraz płatności, dotyczące wydatków majątkowych</t>
  </si>
  <si>
    <t>Pozostałe zadania w zakresie polityki społecznej</t>
  </si>
  <si>
    <t>Rehabilitacja zawodowa i społeczna osób niepełnosprawnych</t>
  </si>
  <si>
    <t>2570</t>
  </si>
  <si>
    <t>Dotacja podmiotowa z budżetu dla pozostałych jednostek sektora finansów publicznych</t>
  </si>
  <si>
    <t>2580</t>
  </si>
  <si>
    <t>Dotacja podmiotowa z budżetu dla jednostek niezaliczanych do sektora finansów publicznych</t>
  </si>
  <si>
    <t>Zakup usług objemujących tłumaczenia</t>
  </si>
  <si>
    <t>854</t>
  </si>
  <si>
    <t>Edukacyjna opieka wychowawcza</t>
  </si>
  <si>
    <t>85410</t>
  </si>
  <si>
    <t>Internaty i bursy szkolne</t>
  </si>
  <si>
    <t>Opłaty na rzecz budżetów jednostek budżetowych</t>
  </si>
  <si>
    <t>Pomoc materialna dla uczniów o charakterze motywacyjnym</t>
  </si>
  <si>
    <t>Rodzina</t>
  </si>
  <si>
    <t>85503</t>
  </si>
  <si>
    <t>Karta Dużej Rodziny</t>
  </si>
  <si>
    <t xml:space="preserve">dotacje na zadania bieżące </t>
  </si>
  <si>
    <t>Gospodarka komunalna i ochrona środowiska</t>
  </si>
  <si>
    <t>Ochrona powietrza atmosferycznego i klimatu</t>
  </si>
  <si>
    <t>90019</t>
  </si>
  <si>
    <t>90020</t>
  </si>
  <si>
    <t>90024</t>
  </si>
  <si>
    <t>Wpływy i wydatki związane z wprowadzeniem do obrotu baterii i akumulatorów</t>
  </si>
  <si>
    <t>90095</t>
  </si>
  <si>
    <t>Kultura i ochrona dziedzictwa narodowego</t>
  </si>
  <si>
    <t>Pozostałe zadania w zakresie kultury</t>
  </si>
  <si>
    <t>92106</t>
  </si>
  <si>
    <t xml:space="preserve">Teatry </t>
  </si>
  <si>
    <t>2480</t>
  </si>
  <si>
    <t>Dotacja podmiotowa z budżetu dla samorządowej instytucji kultury</t>
  </si>
  <si>
    <t>2800</t>
  </si>
  <si>
    <t>Dotacja celowa z budżetu dla pozostałych jednostek zaliczanych do sektora finansów publicznych</t>
  </si>
  <si>
    <t>92108</t>
  </si>
  <si>
    <t>Filharmonie, orkiestry, chóry i kapele</t>
  </si>
  <si>
    <t>92109</t>
  </si>
  <si>
    <t>Domy i ośrodki kultury, świetlice i kluby</t>
  </si>
  <si>
    <t>92110</t>
  </si>
  <si>
    <t>Galerie i biura wystaw artystycznych</t>
  </si>
  <si>
    <t>92114</t>
  </si>
  <si>
    <t>Pozostałe instytucje kultury</t>
  </si>
  <si>
    <t xml:space="preserve">Dotacja celowa na pomoc finansową udzielaną między jednostkami samorządu terytorialnego na dofinansowanie własnych zadań bieżących 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</si>
  <si>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</si>
  <si>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</si>
  <si>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</si>
  <si>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925</t>
  </si>
  <si>
    <t>Ogrody botaniczne i zoologiczne oraz naturalne obszary i obiekty chronionej przyrody</t>
  </si>
  <si>
    <t>92502</t>
  </si>
  <si>
    <t>92595</t>
  </si>
  <si>
    <t>Kultura fizyczna</t>
  </si>
  <si>
    <t>Zadania w zakresie kultury fizycznej</t>
  </si>
  <si>
    <t>dotacje  na zadania bieżące:</t>
  </si>
  <si>
    <t>2820</t>
  </si>
  <si>
    <t>Dotacja celowa z budżetu na finansowanie lub dofinansowanie zadań zleconych do realizacji stowarzyszeniom</t>
  </si>
  <si>
    <t>Razem:</t>
  </si>
  <si>
    <t>I. Wydatki bieżące, w tym:</t>
  </si>
  <si>
    <t>1. Wydatki jednostek budżetowych, z tego:</t>
  </si>
  <si>
    <t xml:space="preserve">    - wynagrodzenia i składki od nich naliczane</t>
  </si>
  <si>
    <t xml:space="preserve">    - wydatki związane z realizacją ich statutowych zadań</t>
  </si>
  <si>
    <t>2. Dotacje na zadania bieżące</t>
  </si>
  <si>
    <t>3. Świadczenia na rzecz osób fizycznych</t>
  </si>
  <si>
    <t>4. Wydatki na programy finansowane z udziałem środków UE i źródeł zagranicznych</t>
  </si>
  <si>
    <t>5. Wypłaty z tytułu poręczeń i gwarancji</t>
  </si>
  <si>
    <t>6. Obsługa długu JST</t>
  </si>
  <si>
    <t>II. Wydatki majątkowe, w tym:</t>
  </si>
  <si>
    <t>1. Inwestycje i zakupy inwestycyjne, z tego:</t>
  </si>
  <si>
    <t xml:space="preserve">   - na programy finansowane z udziałem środków UE i źródeł zagranicznych</t>
  </si>
  <si>
    <t>2. Zakup i objęcie akcji i udziałów</t>
  </si>
  <si>
    <t>3. Wniesienie wkładów do spółek prawa handlowego</t>
  </si>
  <si>
    <t>Dotacja celowa z budżetu państwa jako refundacja wydatków poniesionych ze środków własnych na realizację projektu pn. "Szlakiem obiektów UNESCO na pograniczu polsko - słowackim" w ramach Programu Współpracy Transgranicznej INTERREG V-A Polska - Słowacja 2014-2020</t>
  </si>
  <si>
    <t>Dotacja celowa z budżetu państwa jako refundacja wydatków poniesionych ze środków własnych na realizację projektu pn. "W sercu Karpat - granica, która łączy" w ramach Programu Współpracy Transgranicznej INTERREG V-A Polska - Słowacja 2014-2020</t>
  </si>
  <si>
    <t xml:space="preserve">Wpływy z tytułu refundacji opłat za dysponowanie nieruchomościami w związku z utrzymaniem infrastruktury wytworzonej w ramach projektu pn.: "Sieć Szerokopasmowa Polski Wschodniej - Województwo Podkarpackie" </t>
  </si>
  <si>
    <t xml:space="preserve">Krajowe pasażerskie przewozy autobusowe </t>
  </si>
  <si>
    <t xml:space="preserve">w  tym :  </t>
  </si>
  <si>
    <t>Realizacja zadania inwestycyjnego pn. „Prace remontowe, konserwatorskie i budowlane Oranżerii oraz Ujeżdżalni w ramach przedsięwzięcia "Ochrona i rozwój dziedzictwa kulturowego dawnej Ordynacji Łańcuckiej poprzez prace remontowo - konserwatorskie oraz wykreowanie nowych przestrzeni ekspozycyjnych OR-KA II, III, IV, VII".</t>
  </si>
  <si>
    <t>Tabela Nr 3 do Uchwały Nr XLVII/789/17
Sejmiku Województwa Podkarpackiego 
w Rzeszowie z dnia  28.12.2017 r.</t>
  </si>
  <si>
    <t>Tabela Nr 2 do Uchwały Nr XLVII/789/17 Sejmiku Województwa Podkarpackiego w Rzeszowie z dnia 28.12.2017 r.</t>
  </si>
  <si>
    <t>Tabela Nr 1 do Uchwały Nr XLVII/789/17 Sejmiku Województwa Podkarpackiego w Rzeszowie z dnia 28.12.2017 r.</t>
  </si>
  <si>
    <t>Załącznik Nr 1
do  Uchwały Nr XLVII/789/17
Sejmiku Województwa Podkarpackiego 
 w Rzeszowie  z dnia 28.12.2017 r.</t>
  </si>
  <si>
    <t>Załącznik Nr 2
do  Uchwały Nr XLVII/789/17
Sejmiku Województwa Podkarpackiego 
 w Rzeszowie  z dnia 28.12.2017 r.</t>
  </si>
  <si>
    <t>Załącznik  Nr 3
do  Uchwały Nr  XLVII/789/17
Sejmiku Województwa Podkarpackiego 
 w Rzeszowie  z dnia 28.12.2017 r.</t>
  </si>
  <si>
    <t>Załącznik Nr 4
do  Uchwały Nr  XLVII/789/17
Sejmiku Województwa Podkarpackiego 
 w Rzeszowie  z dnia 28.12.2017 r.</t>
  </si>
  <si>
    <t>Załącznik Nr 5
do  Uchwały Nr  XLVII/789/17
Sejmiku Województwa Podkarpackiego 
 w Rzeszowie  z dnia 28.12.2017 r.</t>
  </si>
  <si>
    <t>Załącznik Nr 6
do  Uchwały Nr XLVII/789/17
Sejmiku Województwa Podkarpackiego 
 w Rzeszowie  z dnia 28.12.2017 r.</t>
  </si>
  <si>
    <t>Załącznik Nr 7
do  Uchwały Nr  XLVII/789/17
Sejmiku Województwa Podkarpackiego 
 w Rzeszowie  z dnia 28.12.2017 r.</t>
  </si>
  <si>
    <t xml:space="preserve">Załącznik Nr 8
do  Uchwały Nr XLVII/789/17 
Sejmiku Województwa Podkarpackiego 
 w Rzeszowie  z dnia 28.12.2017 r.  </t>
  </si>
  <si>
    <t xml:space="preserve">Załącznik Nr 9
do  Uchwały Nr XLVII/789/17
Sejmiku Województwa Podkarpackiego 
 w Rzeszowie  z dnia 28.12.2017 r. </t>
  </si>
  <si>
    <t xml:space="preserve">Załącznik Nr 10
do  Uchwały Nr XLVII/789/17 
Sejmiku Województwa Podkarpackiego 
 w Rzeszowie  z dnia 28.12.2017 r. </t>
  </si>
  <si>
    <t>Załącznik Nr 11 
do  Uchwały Nr XLVII/789/17 Sejmiku Województwa Podkarpackiego 
 w Rzeszowie  z dnia 28.12.2017 r.</t>
  </si>
  <si>
    <t>Załącznik Nr 12
do  Uchwały Nr XLVII/789/17 Sejmiku Województwa Podkarpackiego 
 w Rzeszowie  z dnia 28.12.2017 r.</t>
  </si>
  <si>
    <t>Załącznik Nr 13
do  Uchwały XLVII/789/17
Sejmiku Województwa Podkarpackiego 
 w Rzeszowie  z dnia 28.12.2017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</si>
</sst>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sz val="8"/>
      <name val="Arial CE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Times New Roman CE"/>
      <family val="1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2"/>
      <name val="Arial"/>
      <family val="2"/>
      <charset val="238"/>
    </font>
    <font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1"/>
      <name val="Arial"/>
      <family val="2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1"/>
      <name val="Arial CE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b/>
      <sz val="10"/>
      <name val="Arial CE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b/>
      <i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i/>
      <sz val="10"/>
      <color rgb="FFFF0000"/>
      <name val="Arial CE"/>
      <charset val="238"/>
    </font>
    <font>
      <b/>
      <i/>
      <sz val="10"/>
      <name val="Arial CE"/>
      <charset val="238"/>
    </font>
    <font>
      <i/>
      <sz val="10"/>
      <color rgb="FFFF0000"/>
      <name val="Arial CE"/>
      <charset val="238"/>
    </font>
    <font>
      <i/>
      <sz val="10"/>
      <name val="Arial CE"/>
      <charset val="238"/>
    </font>
    <font>
      <i/>
      <sz val="12"/>
      <color rgb="FFFF0000"/>
      <name val="Arial"/>
      <family val="2"/>
      <charset val="238"/>
    </font>
    <font>
      <sz val="9"/>
      <name val="Arial"/>
      <family val="2"/>
      <charset val="238"/>
    </font>
    <font>
      <sz val="11"/>
      <name val="Czcionka tekstu podstawowego"/>
      <family val="2"/>
      <charset val="238"/>
    </font>
    <font>
      <sz val="10"/>
      <name val="Czcionka tekstu podstawowego"/>
      <family val="2"/>
      <charset val="238"/>
    </font>
    <font>
      <i/>
      <sz val="8"/>
      <color rgb="FFFF0000"/>
      <name val="Arial"/>
      <family val="2"/>
      <charset val="238"/>
    </font>
    <font>
      <sz val="9"/>
      <name val="Arial CE"/>
      <charset val="238"/>
    </font>
    <font>
      <b/>
      <sz val="8"/>
      <name val="Arial"/>
      <family val="2"/>
      <charset val="238"/>
    </font>
    <font>
      <b/>
      <sz val="8"/>
      <name val="Czcionka tekstu podstawowego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rgb="FFFF0000"/>
      <name val="Arial CE"/>
      <charset val="238"/>
    </font>
    <font>
      <b/>
      <i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 CE"/>
      <charset val="238"/>
    </font>
    <font>
      <b/>
      <i/>
      <sz val="14"/>
      <name val="Arial"/>
      <family val="2"/>
    </font>
    <font>
      <sz val="10"/>
      <name val="Arial"/>
      <family val="2"/>
    </font>
    <font>
      <b/>
      <sz val="10"/>
      <color theme="1"/>
      <name val="Arial CE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 CE"/>
      <charset val="238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  <charset val="238"/>
    </font>
    <font>
      <b/>
      <sz val="11"/>
      <color theme="1"/>
      <name val="Arial CE"/>
      <charset val="238"/>
    </font>
    <font>
      <i/>
      <sz val="11"/>
      <name val="Arial CE"/>
      <charset val="238"/>
    </font>
    <font>
      <b/>
      <i/>
      <sz val="11"/>
      <color theme="1"/>
      <name val="Arial CE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i/>
      <sz val="14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DF4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34998626667073579"/>
        <bgColor indexed="0"/>
      </patternFill>
    </fill>
    <fill>
      <patternFill patternType="solid">
        <fgColor rgb="FFFFFF66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rgb="FF99FF33"/>
        <bgColor indexed="64"/>
      </patternFill>
    </fill>
  </fills>
  <borders count="29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5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7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>
      <alignment vertical="top"/>
    </xf>
    <xf numFmtId="0" fontId="5" fillId="0" borderId="0"/>
    <xf numFmtId="0" fontId="2" fillId="0" borderId="0"/>
    <xf numFmtId="0" fontId="5" fillId="0" borderId="0"/>
    <xf numFmtId="0" fontId="1" fillId="0" borderId="0"/>
    <xf numFmtId="0" fontId="32" fillId="0" borderId="0"/>
  </cellStyleXfs>
  <cellXfs count="2237">
    <xf numFmtId="0" fontId="0" fillId="0" borderId="0" xfId="0"/>
    <xf numFmtId="0" fontId="5" fillId="0" borderId="0" xfId="1"/>
    <xf numFmtId="3" fontId="5" fillId="0" borderId="0" xfId="1" applyNumberFormat="1"/>
    <xf numFmtId="0" fontId="7" fillId="0" borderId="3" xfId="1" applyFont="1" applyBorder="1" applyAlignment="1">
      <alignment vertical="center" wrapText="1"/>
    </xf>
    <xf numFmtId="0" fontId="5" fillId="0" borderId="0" xfId="1" applyBorder="1"/>
    <xf numFmtId="0" fontId="8" fillId="0" borderId="0" xfId="1" applyFont="1" applyBorder="1" applyAlignment="1">
      <alignment horizontal="right" vertical="center" wrapText="1"/>
    </xf>
    <xf numFmtId="0" fontId="18" fillId="0" borderId="0" xfId="1" applyFont="1" applyBorder="1" applyAlignment="1">
      <alignment horizontal="center" vertical="center" wrapText="1"/>
    </xf>
    <xf numFmtId="4" fontId="5" fillId="0" borderId="0" xfId="1" applyNumberFormat="1"/>
    <xf numFmtId="3" fontId="16" fillId="2" borderId="4" xfId="1" applyNumberFormat="1" applyFont="1" applyFill="1" applyBorder="1" applyAlignment="1">
      <alignment vertical="center"/>
    </xf>
    <xf numFmtId="3" fontId="11" fillId="4" borderId="4" xfId="1" applyNumberFormat="1" applyFont="1" applyFill="1" applyBorder="1" applyAlignment="1">
      <alignment vertical="center"/>
    </xf>
    <xf numFmtId="0" fontId="12" fillId="0" borderId="7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left" vertical="center"/>
    </xf>
    <xf numFmtId="3" fontId="7" fillId="0" borderId="8" xfId="1" applyNumberFormat="1" applyFont="1" applyFill="1" applyBorder="1" applyAlignment="1">
      <alignment vertical="center"/>
    </xf>
    <xf numFmtId="0" fontId="7" fillId="0" borderId="3" xfId="1" applyFont="1" applyFill="1" applyBorder="1" applyAlignment="1">
      <alignment horizontal="left" vertical="center"/>
    </xf>
    <xf numFmtId="0" fontId="12" fillId="0" borderId="8" xfId="1" applyFont="1" applyFill="1" applyBorder="1" applyAlignment="1">
      <alignment horizontal="center" vertical="center"/>
    </xf>
    <xf numFmtId="3" fontId="16" fillId="2" borderId="20" xfId="1" applyNumberFormat="1" applyFont="1" applyFill="1" applyBorder="1" applyAlignment="1">
      <alignment horizontal="right" vertical="center"/>
    </xf>
    <xf numFmtId="0" fontId="16" fillId="2" borderId="4" xfId="1" applyFont="1" applyFill="1" applyBorder="1" applyAlignment="1">
      <alignment horizontal="center" vertical="center"/>
    </xf>
    <xf numFmtId="3" fontId="11" fillId="3" borderId="4" xfId="1" applyNumberFormat="1" applyFont="1" applyFill="1" applyBorder="1" applyAlignment="1">
      <alignment vertical="center"/>
    </xf>
    <xf numFmtId="3" fontId="7" fillId="0" borderId="19" xfId="1" applyNumberFormat="1" applyFont="1" applyFill="1" applyBorder="1" applyAlignment="1">
      <alignment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7" fillId="0" borderId="26" xfId="1" applyFont="1" applyBorder="1" applyAlignment="1">
      <alignment vertical="center" wrapText="1"/>
    </xf>
    <xf numFmtId="3" fontId="7" fillId="0" borderId="21" xfId="4" applyNumberFormat="1" applyFont="1" applyFill="1" applyBorder="1" applyAlignment="1">
      <alignment vertical="center"/>
    </xf>
    <xf numFmtId="3" fontId="7" fillId="0" borderId="21" xfId="4" applyNumberFormat="1" applyFont="1" applyBorder="1" applyAlignment="1">
      <alignment vertical="center"/>
    </xf>
    <xf numFmtId="0" fontId="7" fillId="0" borderId="2" xfId="1" applyFont="1" applyBorder="1" applyAlignment="1">
      <alignment vertical="center" wrapText="1"/>
    </xf>
    <xf numFmtId="0" fontId="12" fillId="0" borderId="18" xfId="1" applyFont="1" applyBorder="1" applyAlignment="1">
      <alignment horizontal="center" vertical="center"/>
    </xf>
    <xf numFmtId="0" fontId="12" fillId="4" borderId="13" xfId="1" applyFont="1" applyFill="1" applyBorder="1" applyAlignment="1">
      <alignment horizontal="center" vertical="center"/>
    </xf>
    <xf numFmtId="3" fontId="11" fillId="2" borderId="4" xfId="1" applyNumberFormat="1" applyFont="1" applyFill="1" applyBorder="1" applyAlignment="1">
      <alignment horizontal="center" vertical="center" wrapText="1"/>
    </xf>
    <xf numFmtId="0" fontId="7" fillId="0" borderId="0" xfId="1" applyFont="1"/>
    <xf numFmtId="3" fontId="11" fillId="3" borderId="4" xfId="1" applyNumberFormat="1" applyFont="1" applyFill="1" applyBorder="1" applyAlignment="1">
      <alignment horizontal="right" vertical="center"/>
    </xf>
    <xf numFmtId="0" fontId="22" fillId="3" borderId="4" xfId="1" applyFont="1" applyFill="1" applyBorder="1" applyAlignment="1">
      <alignment vertical="center"/>
    </xf>
    <xf numFmtId="49" fontId="11" fillId="3" borderId="4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20" fillId="0" borderId="4" xfId="1" applyFont="1" applyFill="1" applyBorder="1" applyAlignment="1">
      <alignment horizontal="left" vertical="center" wrapText="1"/>
    </xf>
    <xf numFmtId="3" fontId="20" fillId="0" borderId="4" xfId="1" applyNumberFormat="1" applyFont="1" applyFill="1" applyBorder="1" applyAlignment="1">
      <alignment horizontal="right" vertical="center"/>
    </xf>
    <xf numFmtId="49" fontId="20" fillId="0" borderId="4" xfId="1" applyNumberFormat="1" applyFont="1" applyFill="1" applyBorder="1" applyAlignment="1">
      <alignment horizontal="center" vertical="center"/>
    </xf>
    <xf numFmtId="49" fontId="11" fillId="0" borderId="4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15" fillId="0" borderId="0" xfId="1" applyFont="1" applyAlignment="1">
      <alignment wrapText="1"/>
    </xf>
    <xf numFmtId="0" fontId="22" fillId="2" borderId="12" xfId="1" applyFont="1" applyFill="1" applyBorder="1" applyAlignment="1">
      <alignment horizontal="center" vertical="center" wrapText="1"/>
    </xf>
    <xf numFmtId="3" fontId="11" fillId="2" borderId="9" xfId="1" applyNumberFormat="1" applyFont="1" applyFill="1" applyBorder="1" applyAlignment="1">
      <alignment horizontal="right" vertical="center"/>
    </xf>
    <xf numFmtId="3" fontId="11" fillId="2" borderId="4" xfId="1" applyNumberFormat="1" applyFont="1" applyFill="1" applyBorder="1" applyAlignment="1">
      <alignment horizontal="right" vertical="center"/>
    </xf>
    <xf numFmtId="49" fontId="11" fillId="2" borderId="4" xfId="1" applyNumberFormat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top"/>
    </xf>
    <xf numFmtId="0" fontId="23" fillId="0" borderId="0" xfId="1" applyFont="1" applyAlignment="1">
      <alignment vertical="center"/>
    </xf>
    <xf numFmtId="3" fontId="23" fillId="0" borderId="0" xfId="1" applyNumberFormat="1" applyFont="1" applyBorder="1" applyAlignment="1">
      <alignment horizontal="right" vertical="center"/>
    </xf>
    <xf numFmtId="0" fontId="23" fillId="0" borderId="0" xfId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49" fontId="24" fillId="0" borderId="0" xfId="1" applyNumberFormat="1" applyFont="1" applyBorder="1" applyAlignment="1">
      <alignment horizontal="center" vertical="top"/>
    </xf>
    <xf numFmtId="49" fontId="23" fillId="0" borderId="0" xfId="1" applyNumberFormat="1" applyFont="1" applyBorder="1" applyAlignment="1">
      <alignment horizontal="center" vertical="center"/>
    </xf>
    <xf numFmtId="0" fontId="8" fillId="0" borderId="0" xfId="1" applyFont="1" applyAlignment="1">
      <alignment horizontal="right" wrapText="1"/>
    </xf>
    <xf numFmtId="0" fontId="6" fillId="0" borderId="0" xfId="2"/>
    <xf numFmtId="3" fontId="19" fillId="0" borderId="0" xfId="2" applyNumberFormat="1" applyFont="1" applyBorder="1"/>
    <xf numFmtId="0" fontId="19" fillId="0" borderId="0" xfId="11" applyFont="1" applyBorder="1" applyAlignment="1">
      <alignment wrapText="1"/>
    </xf>
    <xf numFmtId="0" fontId="19" fillId="0" borderId="0" xfId="2" applyFont="1" applyBorder="1" applyAlignment="1">
      <alignment horizontal="center"/>
    </xf>
    <xf numFmtId="3" fontId="27" fillId="0" borderId="0" xfId="2" applyNumberFormat="1" applyFont="1" applyBorder="1"/>
    <xf numFmtId="0" fontId="28" fillId="0" borderId="0" xfId="2" applyFont="1" applyBorder="1" applyAlignment="1">
      <alignment horizontal="center"/>
    </xf>
    <xf numFmtId="3" fontId="6" fillId="0" borderId="0" xfId="2" applyNumberFormat="1"/>
    <xf numFmtId="3" fontId="11" fillId="2" borderId="4" xfId="2" applyNumberFormat="1" applyFont="1" applyFill="1" applyBorder="1" applyAlignment="1">
      <alignment vertical="center"/>
    </xf>
    <xf numFmtId="0" fontId="7" fillId="0" borderId="3" xfId="11" applyFont="1" applyBorder="1"/>
    <xf numFmtId="0" fontId="7" fillId="0" borderId="2" xfId="11" applyFont="1" applyBorder="1"/>
    <xf numFmtId="0" fontId="7" fillId="0" borderId="26" xfId="11" applyFont="1" applyBorder="1"/>
    <xf numFmtId="0" fontId="29" fillId="0" borderId="0" xfId="2" applyFont="1"/>
    <xf numFmtId="3" fontId="29" fillId="0" borderId="0" xfId="2" applyNumberFormat="1" applyFont="1"/>
    <xf numFmtId="0" fontId="7" fillId="0" borderId="0" xfId="2" applyFont="1" applyBorder="1"/>
    <xf numFmtId="0" fontId="7" fillId="0" borderId="4" xfId="2" applyFont="1" applyFill="1" applyBorder="1" applyAlignment="1">
      <alignment horizontal="center"/>
    </xf>
    <xf numFmtId="0" fontId="7" fillId="0" borderId="2" xfId="11" applyFont="1" applyBorder="1" applyAlignment="1">
      <alignment wrapText="1"/>
    </xf>
    <xf numFmtId="3" fontId="6" fillId="0" borderId="0" xfId="2" applyNumberFormat="1" applyFont="1"/>
    <xf numFmtId="0" fontId="7" fillId="0" borderId="0" xfId="11" applyFont="1" applyFill="1" applyBorder="1" applyAlignment="1">
      <alignment wrapText="1"/>
    </xf>
    <xf numFmtId="3" fontId="12" fillId="4" borderId="12" xfId="2" applyNumberFormat="1" applyFont="1" applyFill="1" applyBorder="1" applyAlignment="1">
      <alignment horizontal="right"/>
    </xf>
    <xf numFmtId="3" fontId="12" fillId="4" borderId="4" xfId="2" applyNumberFormat="1" applyFont="1" applyFill="1" applyBorder="1" applyAlignment="1">
      <alignment horizontal="right"/>
    </xf>
    <xf numFmtId="0" fontId="11" fillId="2" borderId="12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0" fontId="7" fillId="0" borderId="0" xfId="2" applyFont="1"/>
    <xf numFmtId="0" fontId="7" fillId="0" borderId="3" xfId="11" applyFont="1" applyBorder="1" applyAlignment="1">
      <alignment wrapText="1"/>
    </xf>
    <xf numFmtId="0" fontId="7" fillId="0" borderId="3" xfId="11" applyFont="1" applyBorder="1" applyAlignment="1">
      <alignment vertical="center" wrapText="1"/>
    </xf>
    <xf numFmtId="0" fontId="7" fillId="0" borderId="26" xfId="11" applyFont="1" applyBorder="1" applyAlignment="1">
      <alignment vertical="center" wrapText="1"/>
    </xf>
    <xf numFmtId="0" fontId="7" fillId="0" borderId="2" xfId="11" applyFont="1" applyBorder="1" applyAlignment="1">
      <alignment vertical="center" wrapText="1"/>
    </xf>
    <xf numFmtId="3" fontId="7" fillId="0" borderId="17" xfId="2" applyNumberFormat="1" applyFont="1" applyBorder="1" applyAlignment="1">
      <alignment vertical="center"/>
    </xf>
    <xf numFmtId="3" fontId="7" fillId="0" borderId="5" xfId="2" applyNumberFormat="1" applyFont="1" applyBorder="1" applyAlignment="1">
      <alignment vertical="center"/>
    </xf>
    <xf numFmtId="3" fontId="7" fillId="0" borderId="16" xfId="2" applyNumberFormat="1" applyFont="1" applyBorder="1" applyAlignment="1">
      <alignment vertical="center"/>
    </xf>
    <xf numFmtId="3" fontId="7" fillId="0" borderId="23" xfId="2" applyNumberFormat="1" applyFont="1" applyBorder="1" applyAlignment="1">
      <alignment vertical="center"/>
    </xf>
    <xf numFmtId="3" fontId="12" fillId="4" borderId="4" xfId="2" applyNumberFormat="1" applyFont="1" applyFill="1" applyBorder="1" applyAlignment="1">
      <alignment vertical="center"/>
    </xf>
    <xf numFmtId="3" fontId="12" fillId="4" borderId="12" xfId="2" applyNumberFormat="1" applyFont="1" applyFill="1" applyBorder="1" applyAlignment="1">
      <alignment vertical="center"/>
    </xf>
    <xf numFmtId="3" fontId="7" fillId="0" borderId="18" xfId="2" applyNumberFormat="1" applyFont="1" applyBorder="1" applyAlignment="1">
      <alignment vertical="center"/>
    </xf>
    <xf numFmtId="3" fontId="7" fillId="0" borderId="22" xfId="2" applyNumberFormat="1" applyFont="1" applyBorder="1" applyAlignment="1">
      <alignment vertical="center"/>
    </xf>
    <xf numFmtId="3" fontId="7" fillId="0" borderId="15" xfId="2" applyNumberFormat="1" applyFont="1" applyBorder="1" applyAlignment="1">
      <alignment vertical="center"/>
    </xf>
    <xf numFmtId="3" fontId="7" fillId="0" borderId="21" xfId="2" applyNumberFormat="1" applyFont="1" applyBorder="1" applyAlignment="1">
      <alignment vertical="center"/>
    </xf>
    <xf numFmtId="0" fontId="7" fillId="0" borderId="32" xfId="1" applyFont="1" applyFill="1" applyBorder="1" applyAlignment="1">
      <alignment horizontal="left" vertical="center"/>
    </xf>
    <xf numFmtId="0" fontId="7" fillId="0" borderId="1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5" fillId="0" borderId="0" xfId="1" applyFont="1"/>
    <xf numFmtId="3" fontId="11" fillId="4" borderId="12" xfId="4" applyNumberFormat="1" applyFont="1" applyFill="1" applyBorder="1" applyAlignment="1">
      <alignment vertical="center"/>
    </xf>
    <xf numFmtId="0" fontId="30" fillId="0" borderId="0" xfId="1" applyFont="1"/>
    <xf numFmtId="0" fontId="7" fillId="0" borderId="32" xfId="1" applyFont="1" applyFill="1" applyBorder="1" applyAlignment="1">
      <alignment horizontal="left" vertical="center" wrapText="1"/>
    </xf>
    <xf numFmtId="0" fontId="12" fillId="0" borderId="32" xfId="1" applyFont="1" applyFill="1" applyBorder="1" applyAlignment="1">
      <alignment horizontal="center" vertical="center"/>
    </xf>
    <xf numFmtId="3" fontId="7" fillId="0" borderId="23" xfId="1" applyNumberFormat="1" applyFont="1" applyFill="1" applyBorder="1" applyAlignment="1">
      <alignment vertical="center"/>
    </xf>
    <xf numFmtId="3" fontId="12" fillId="4" borderId="12" xfId="1" applyNumberFormat="1" applyFont="1" applyFill="1" applyBorder="1" applyAlignment="1">
      <alignment vertical="center"/>
    </xf>
    <xf numFmtId="3" fontId="7" fillId="0" borderId="21" xfId="1" applyNumberFormat="1" applyFont="1" applyFill="1" applyBorder="1" applyAlignment="1">
      <alignment vertical="center"/>
    </xf>
    <xf numFmtId="3" fontId="7" fillId="0" borderId="23" xfId="1" applyNumberFormat="1" applyFont="1" applyBorder="1" applyAlignment="1">
      <alignment vertical="center"/>
    </xf>
    <xf numFmtId="49" fontId="19" fillId="0" borderId="0" xfId="1" applyNumberFormat="1" applyFont="1" applyAlignment="1">
      <alignment horizontal="center" vertical="center"/>
    </xf>
    <xf numFmtId="3" fontId="19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4" fillId="0" borderId="0" xfId="1" applyFont="1" applyAlignment="1">
      <alignment vertical="center" wrapText="1"/>
    </xf>
    <xf numFmtId="0" fontId="8" fillId="0" borderId="0" xfId="1" applyFont="1" applyAlignment="1">
      <alignment horizontal="right"/>
    </xf>
    <xf numFmtId="3" fontId="7" fillId="6" borderId="25" xfId="1" applyNumberFormat="1" applyFont="1" applyFill="1" applyBorder="1" applyAlignment="1">
      <alignment horizontal="right" vertical="center" wrapText="1"/>
    </xf>
    <xf numFmtId="0" fontId="5" fillId="0" borderId="0" xfId="1" applyAlignment="1">
      <alignment vertical="center"/>
    </xf>
    <xf numFmtId="49" fontId="19" fillId="0" borderId="0" xfId="1" applyNumberFormat="1" applyFont="1" applyAlignment="1">
      <alignment horizontal="center"/>
    </xf>
    <xf numFmtId="3" fontId="19" fillId="0" borderId="0" xfId="1" applyNumberFormat="1" applyFont="1" applyAlignment="1">
      <alignment horizontal="right"/>
    </xf>
    <xf numFmtId="0" fontId="19" fillId="0" borderId="0" xfId="1" applyFont="1"/>
    <xf numFmtId="0" fontId="19" fillId="0" borderId="0" xfId="1" applyFont="1" applyAlignment="1">
      <alignment horizontal="center"/>
    </xf>
    <xf numFmtId="49" fontId="5" fillId="0" borderId="0" xfId="1" applyNumberFormat="1" applyAlignment="1">
      <alignment horizontal="center" vertical="center"/>
    </xf>
    <xf numFmtId="0" fontId="5" fillId="0" borderId="0" xfId="1" applyAlignment="1">
      <alignment horizontal="center"/>
    </xf>
    <xf numFmtId="0" fontId="20" fillId="6" borderId="0" xfId="0" applyFont="1" applyFill="1" applyBorder="1" applyAlignment="1">
      <alignment horizontal="left" vertical="center" wrapText="1"/>
    </xf>
    <xf numFmtId="3" fontId="20" fillId="0" borderId="43" xfId="1" applyNumberFormat="1" applyFont="1" applyBorder="1" applyAlignment="1">
      <alignment horizontal="center" vertical="center" wrapText="1"/>
    </xf>
    <xf numFmtId="0" fontId="20" fillId="0" borderId="44" xfId="1" applyFont="1" applyBorder="1" applyAlignment="1">
      <alignment horizontal="left" vertical="center" wrapText="1"/>
    </xf>
    <xf numFmtId="3" fontId="11" fillId="4" borderId="25" xfId="1" applyNumberFormat="1" applyFont="1" applyFill="1" applyBorder="1" applyAlignment="1">
      <alignment horizontal="right" vertical="center"/>
    </xf>
    <xf numFmtId="3" fontId="33" fillId="3" borderId="4" xfId="1" applyNumberFormat="1" applyFont="1" applyFill="1" applyBorder="1" applyAlignment="1">
      <alignment horizontal="right" vertical="center"/>
    </xf>
    <xf numFmtId="0" fontId="20" fillId="6" borderId="33" xfId="0" applyFont="1" applyFill="1" applyBorder="1" applyAlignment="1">
      <alignment horizontal="left" vertical="center" wrapText="1"/>
    </xf>
    <xf numFmtId="3" fontId="16" fillId="4" borderId="4" xfId="1" applyNumberFormat="1" applyFont="1" applyFill="1" applyBorder="1" applyAlignment="1">
      <alignment horizontal="right" vertical="center"/>
    </xf>
    <xf numFmtId="0" fontId="22" fillId="4" borderId="4" xfId="1" applyFont="1" applyFill="1" applyBorder="1" applyAlignment="1">
      <alignment horizontal="center" vertical="center" wrapText="1"/>
    </xf>
    <xf numFmtId="49" fontId="20" fillId="0" borderId="43" xfId="1" applyNumberFormat="1" applyFont="1" applyBorder="1" applyAlignment="1">
      <alignment horizontal="center" vertical="center"/>
    </xf>
    <xf numFmtId="49" fontId="20" fillId="0" borderId="43" xfId="1" applyNumberFormat="1" applyFont="1" applyBorder="1" applyAlignment="1">
      <alignment horizontal="center" vertical="center" wrapText="1"/>
    </xf>
    <xf numFmtId="3" fontId="20" fillId="0" borderId="43" xfId="1" applyNumberFormat="1" applyFont="1" applyBorder="1" applyAlignment="1">
      <alignment horizontal="right" vertical="center"/>
    </xf>
    <xf numFmtId="3" fontId="21" fillId="4" borderId="25" xfId="1" applyNumberFormat="1" applyFont="1" applyFill="1" applyBorder="1" applyAlignment="1">
      <alignment horizontal="right" vertical="center"/>
    </xf>
    <xf numFmtId="0" fontId="20" fillId="4" borderId="40" xfId="1" applyFont="1" applyFill="1" applyBorder="1"/>
    <xf numFmtId="3" fontId="11" fillId="0" borderId="43" xfId="1" applyNumberFormat="1" applyFont="1" applyBorder="1" applyAlignment="1">
      <alignment horizontal="right" vertical="center"/>
    </xf>
    <xf numFmtId="0" fontId="11" fillId="4" borderId="9" xfId="1" applyFont="1" applyFill="1" applyBorder="1" applyAlignment="1">
      <alignment horizontal="center" vertical="center"/>
    </xf>
    <xf numFmtId="0" fontId="11" fillId="3" borderId="13" xfId="1" applyFont="1" applyFill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3" fontId="11" fillId="3" borderId="4" xfId="1" applyNumberFormat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/>
    </xf>
    <xf numFmtId="0" fontId="11" fillId="3" borderId="19" xfId="1" applyFont="1" applyFill="1" applyBorder="1" applyAlignment="1">
      <alignment horizontal="center" vertical="center"/>
    </xf>
    <xf numFmtId="3" fontId="7" fillId="0" borderId="41" xfId="4" applyNumberFormat="1" applyFont="1" applyBorder="1" applyAlignment="1">
      <alignment vertical="center"/>
    </xf>
    <xf numFmtId="0" fontId="12" fillId="0" borderId="32" xfId="1" applyFont="1" applyBorder="1" applyAlignment="1">
      <alignment horizontal="center" vertical="center"/>
    </xf>
    <xf numFmtId="0" fontId="12" fillId="0" borderId="34" xfId="1" applyFont="1" applyBorder="1" applyAlignment="1">
      <alignment horizontal="center" vertical="center"/>
    </xf>
    <xf numFmtId="3" fontId="7" fillId="0" borderId="41" xfId="1" applyNumberFormat="1" applyFont="1" applyFill="1" applyBorder="1" applyAlignment="1">
      <alignment vertical="center"/>
    </xf>
    <xf numFmtId="0" fontId="20" fillId="0" borderId="6" xfId="1" applyFont="1" applyBorder="1"/>
    <xf numFmtId="0" fontId="20" fillId="0" borderId="0" xfId="1" applyFont="1" applyBorder="1"/>
    <xf numFmtId="0" fontId="20" fillId="0" borderId="5" xfId="1" applyFont="1" applyBorder="1"/>
    <xf numFmtId="3" fontId="7" fillId="0" borderId="32" xfId="1" applyNumberFormat="1" applyFont="1" applyFill="1" applyBorder="1" applyAlignment="1">
      <alignment vertical="center"/>
    </xf>
    <xf numFmtId="0" fontId="12" fillId="0" borderId="34" xfId="1" applyFont="1" applyFill="1" applyBorder="1" applyAlignment="1">
      <alignment horizontal="center" vertical="center"/>
    </xf>
    <xf numFmtId="3" fontId="7" fillId="0" borderId="34" xfId="1" applyNumberFormat="1" applyFont="1" applyFill="1" applyBorder="1" applyAlignment="1">
      <alignment vertical="center"/>
    </xf>
    <xf numFmtId="0" fontId="7" fillId="0" borderId="8" xfId="1" applyFont="1" applyBorder="1" applyAlignment="1">
      <alignment vertical="center" wrapText="1"/>
    </xf>
    <xf numFmtId="0" fontId="7" fillId="0" borderId="7" xfId="1" applyFont="1" applyBorder="1" applyAlignment="1">
      <alignment vertical="center" wrapText="1"/>
    </xf>
    <xf numFmtId="0" fontId="7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3" fontId="11" fillId="0" borderId="53" xfId="1" applyNumberFormat="1" applyFont="1" applyBorder="1" applyAlignment="1">
      <alignment horizontal="right" vertical="center"/>
    </xf>
    <xf numFmtId="3" fontId="20" fillId="0" borderId="58" xfId="1" applyNumberFormat="1" applyFont="1" applyBorder="1" applyAlignment="1">
      <alignment horizontal="right" vertical="center"/>
    </xf>
    <xf numFmtId="3" fontId="20" fillId="0" borderId="56" xfId="1" applyNumberFormat="1" applyFont="1" applyBorder="1" applyAlignment="1">
      <alignment horizontal="right" vertical="center"/>
    </xf>
    <xf numFmtId="0" fontId="11" fillId="4" borderId="12" xfId="1" applyFont="1" applyFill="1" applyBorder="1" applyAlignment="1">
      <alignment horizontal="center" vertical="center"/>
    </xf>
    <xf numFmtId="3" fontId="7" fillId="0" borderId="66" xfId="4" applyNumberFormat="1" applyFont="1" applyBorder="1" applyAlignment="1">
      <alignment vertical="center"/>
    </xf>
    <xf numFmtId="0" fontId="12" fillId="0" borderId="63" xfId="1" applyFont="1" applyBorder="1" applyAlignment="1">
      <alignment horizontal="center" vertical="center"/>
    </xf>
    <xf numFmtId="0" fontId="12" fillId="0" borderId="64" xfId="1" applyFont="1" applyBorder="1" applyAlignment="1">
      <alignment horizontal="center" vertical="center"/>
    </xf>
    <xf numFmtId="0" fontId="7" fillId="0" borderId="18" xfId="1" applyFont="1" applyBorder="1" applyAlignment="1">
      <alignment vertical="center" wrapText="1"/>
    </xf>
    <xf numFmtId="0" fontId="7" fillId="0" borderId="32" xfId="1" applyFont="1" applyBorder="1" applyAlignment="1">
      <alignment vertical="center" wrapText="1"/>
    </xf>
    <xf numFmtId="0" fontId="7" fillId="0" borderId="65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3" fontId="7" fillId="0" borderId="57" xfId="4" applyNumberFormat="1" applyFont="1" applyBorder="1" applyAlignment="1">
      <alignment vertical="center"/>
    </xf>
    <xf numFmtId="3" fontId="7" fillId="0" borderId="57" xfId="4" applyNumberFormat="1" applyFont="1" applyFill="1" applyBorder="1" applyAlignment="1">
      <alignment vertical="center"/>
    </xf>
    <xf numFmtId="3" fontId="7" fillId="0" borderId="65" xfId="4" applyNumberFormat="1" applyFont="1" applyFill="1" applyBorder="1" applyAlignment="1">
      <alignment vertical="center"/>
    </xf>
    <xf numFmtId="3" fontId="7" fillId="0" borderId="20" xfId="4" applyNumberFormat="1" applyFont="1" applyFill="1" applyBorder="1" applyAlignment="1">
      <alignment vertical="center"/>
    </xf>
    <xf numFmtId="0" fontId="12" fillId="0" borderId="49" xfId="1" applyFont="1" applyBorder="1" applyAlignment="1">
      <alignment horizontal="center" vertical="center"/>
    </xf>
    <xf numFmtId="3" fontId="7" fillId="0" borderId="7" xfId="1" applyNumberFormat="1" applyFont="1" applyFill="1" applyBorder="1" applyAlignment="1">
      <alignment vertical="center"/>
    </xf>
    <xf numFmtId="0" fontId="11" fillId="3" borderId="4" xfId="1" applyFont="1" applyFill="1" applyBorder="1" applyAlignment="1">
      <alignment horizontal="center" vertical="center" wrapText="1"/>
    </xf>
    <xf numFmtId="0" fontId="11" fillId="3" borderId="12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8" fillId="0" borderId="0" xfId="1" applyFont="1" applyBorder="1" applyAlignment="1">
      <alignment horizontal="center" vertical="center" wrapText="1"/>
    </xf>
    <xf numFmtId="3" fontId="20" fillId="0" borderId="43" xfId="1" applyNumberFormat="1" applyFont="1" applyBorder="1" applyAlignment="1">
      <alignment horizontal="right" vertical="center"/>
    </xf>
    <xf numFmtId="0" fontId="20" fillId="0" borderId="59" xfId="1" applyFont="1" applyFill="1" applyBorder="1" applyAlignment="1">
      <alignment horizontal="center" vertical="center" wrapText="1"/>
    </xf>
    <xf numFmtId="0" fontId="5" fillId="0" borderId="0" xfId="1" applyAlignment="1">
      <alignment wrapText="1"/>
    </xf>
    <xf numFmtId="49" fontId="20" fillId="0" borderId="27" xfId="1" applyNumberFormat="1" applyFont="1" applyBorder="1" applyAlignment="1">
      <alignment horizontal="center" vertical="center" wrapText="1"/>
    </xf>
    <xf numFmtId="3" fontId="20" fillId="0" borderId="27" xfId="1" applyNumberFormat="1" applyFont="1" applyBorder="1" applyAlignment="1">
      <alignment horizontal="right" vertical="center"/>
    </xf>
    <xf numFmtId="0" fontId="20" fillId="0" borderId="48" xfId="1" applyNumberFormat="1" applyFont="1" applyBorder="1" applyAlignment="1">
      <alignment horizontal="center" vertical="center"/>
    </xf>
    <xf numFmtId="3" fontId="20" fillId="0" borderId="48" xfId="1" applyNumberFormat="1" applyFont="1" applyBorder="1" applyAlignment="1">
      <alignment horizontal="right" vertical="center"/>
    </xf>
    <xf numFmtId="0" fontId="15" fillId="0" borderId="0" xfId="1" applyFont="1" applyAlignment="1">
      <alignment vertical="center" wrapText="1"/>
    </xf>
    <xf numFmtId="0" fontId="19" fillId="0" borderId="0" xfId="1" applyFont="1" applyAlignment="1">
      <alignment vertical="center"/>
    </xf>
    <xf numFmtId="3" fontId="19" fillId="0" borderId="0" xfId="1" applyNumberFormat="1" applyFont="1" applyAlignment="1">
      <alignment vertical="center"/>
    </xf>
    <xf numFmtId="0" fontId="19" fillId="0" borderId="0" xfId="1" applyFont="1" applyAlignment="1">
      <alignment horizontal="center" vertical="center" wrapText="1"/>
    </xf>
    <xf numFmtId="0" fontId="8" fillId="0" borderId="0" xfId="1" applyFont="1" applyAlignment="1">
      <alignment horizontal="right" vertical="center" wrapText="1"/>
    </xf>
    <xf numFmtId="3" fontId="19" fillId="0" borderId="0" xfId="1" applyNumberFormat="1" applyFont="1" applyAlignment="1">
      <alignment horizontal="center" vertical="center"/>
    </xf>
    <xf numFmtId="0" fontId="12" fillId="4" borderId="29" xfId="1" applyFont="1" applyFill="1" applyBorder="1" applyAlignment="1">
      <alignment horizontal="center" vertical="center"/>
    </xf>
    <xf numFmtId="0" fontId="12" fillId="4" borderId="61" xfId="1" applyFont="1" applyFill="1" applyBorder="1" applyAlignment="1">
      <alignment horizontal="center" vertical="center"/>
    </xf>
    <xf numFmtId="0" fontId="12" fillId="4" borderId="52" xfId="1" applyFont="1" applyFill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/>
    </xf>
    <xf numFmtId="3" fontId="12" fillId="0" borderId="40" xfId="1" applyNumberFormat="1" applyFont="1" applyBorder="1" applyAlignment="1">
      <alignment horizontal="right" vertical="center"/>
    </xf>
    <xf numFmtId="3" fontId="8" fillId="0" borderId="54" xfId="1" applyNumberFormat="1" applyFont="1" applyBorder="1" applyAlignment="1">
      <alignment horizontal="right" vertical="center"/>
    </xf>
    <xf numFmtId="0" fontId="7" fillId="0" borderId="55" xfId="1" applyFont="1" applyBorder="1" applyAlignment="1">
      <alignment horizontal="center" vertical="center"/>
    </xf>
    <xf numFmtId="0" fontId="42" fillId="7" borderId="55" xfId="1" applyFont="1" applyFill="1" applyBorder="1" applyAlignment="1">
      <alignment horizontal="center" vertical="center"/>
    </xf>
    <xf numFmtId="3" fontId="7" fillId="0" borderId="54" xfId="1" applyNumberFormat="1" applyFont="1" applyBorder="1" applyAlignment="1">
      <alignment horizontal="right" vertical="center"/>
    </xf>
    <xf numFmtId="0" fontId="38" fillId="7" borderId="55" xfId="1" applyFont="1" applyFill="1" applyBorder="1" applyAlignment="1">
      <alignment horizontal="center" vertical="center"/>
    </xf>
    <xf numFmtId="0" fontId="12" fillId="8" borderId="55" xfId="1" applyFont="1" applyFill="1" applyBorder="1" applyAlignment="1">
      <alignment horizontal="center" vertical="center"/>
    </xf>
    <xf numFmtId="3" fontId="12" fillId="0" borderId="54" xfId="1" applyNumberFormat="1" applyFont="1" applyBorder="1" applyAlignment="1">
      <alignment horizontal="right" vertical="center"/>
    </xf>
    <xf numFmtId="0" fontId="12" fillId="0" borderId="55" xfId="1" applyFont="1" applyBorder="1" applyAlignment="1">
      <alignment horizontal="center" vertical="center"/>
    </xf>
    <xf numFmtId="0" fontId="7" fillId="7" borderId="55" xfId="1" applyFont="1" applyFill="1" applyBorder="1" applyAlignment="1">
      <alignment horizontal="center" vertical="center"/>
    </xf>
    <xf numFmtId="0" fontId="12" fillId="0" borderId="55" xfId="1" applyFont="1" applyFill="1" applyBorder="1" applyAlignment="1">
      <alignment horizontal="center" vertical="center" wrapText="1"/>
    </xf>
    <xf numFmtId="0" fontId="7" fillId="0" borderId="43" xfId="1" applyFont="1" applyBorder="1" applyAlignment="1">
      <alignment horizontal="center" vertical="center"/>
    </xf>
    <xf numFmtId="0" fontId="38" fillId="7" borderId="43" xfId="1" applyFont="1" applyFill="1" applyBorder="1" applyAlignment="1">
      <alignment horizontal="center" vertical="center"/>
    </xf>
    <xf numFmtId="3" fontId="7" fillId="0" borderId="44" xfId="1" applyNumberFormat="1" applyFont="1" applyBorder="1" applyAlignment="1">
      <alignment horizontal="right" vertical="center"/>
    </xf>
    <xf numFmtId="3" fontId="12" fillId="4" borderId="52" xfId="1" applyNumberFormat="1" applyFont="1" applyFill="1" applyBorder="1" applyAlignment="1">
      <alignment horizontal="right" vertical="center"/>
    </xf>
    <xf numFmtId="49" fontId="19" fillId="0" borderId="0" xfId="1" applyNumberFormat="1" applyFont="1" applyAlignment="1">
      <alignment vertical="center"/>
    </xf>
    <xf numFmtId="0" fontId="19" fillId="0" borderId="0" xfId="1" applyFont="1" applyAlignment="1">
      <alignment horizontal="right" vertical="center"/>
    </xf>
    <xf numFmtId="0" fontId="43" fillId="0" borderId="0" xfId="1" applyFont="1" applyAlignment="1">
      <alignment vertical="center"/>
    </xf>
    <xf numFmtId="0" fontId="16" fillId="0" borderId="0" xfId="1" applyFont="1" applyBorder="1" applyAlignment="1">
      <alignment horizontal="center" vertical="center" wrapText="1"/>
    </xf>
    <xf numFmtId="0" fontId="12" fillId="4" borderId="43" xfId="1" applyFont="1" applyFill="1" applyBorder="1" applyAlignment="1">
      <alignment horizontal="center" vertical="center" wrapText="1"/>
    </xf>
    <xf numFmtId="0" fontId="39" fillId="7" borderId="59" xfId="1" applyFont="1" applyFill="1" applyBorder="1" applyAlignment="1">
      <alignment horizontal="center" vertical="center"/>
    </xf>
    <xf numFmtId="3" fontId="12" fillId="7" borderId="59" xfId="1" applyNumberFormat="1" applyFont="1" applyFill="1" applyBorder="1" applyAlignment="1">
      <alignment horizontal="right" vertical="center"/>
    </xf>
    <xf numFmtId="3" fontId="12" fillId="7" borderId="53" xfId="1" applyNumberFormat="1" applyFont="1" applyFill="1" applyBorder="1" applyAlignment="1">
      <alignment horizontal="right" vertical="center"/>
    </xf>
    <xf numFmtId="3" fontId="12" fillId="0" borderId="55" xfId="1" applyNumberFormat="1" applyFont="1" applyFill="1" applyBorder="1" applyAlignment="1">
      <alignment horizontal="right" vertical="center"/>
    </xf>
    <xf numFmtId="3" fontId="39" fillId="0" borderId="55" xfId="1" applyNumberFormat="1" applyFont="1" applyFill="1" applyBorder="1" applyAlignment="1">
      <alignment horizontal="right" vertical="center"/>
    </xf>
    <xf numFmtId="3" fontId="12" fillId="0" borderId="54" xfId="1" applyNumberFormat="1" applyFont="1" applyFill="1" applyBorder="1" applyAlignment="1">
      <alignment horizontal="right" vertical="center"/>
    </xf>
    <xf numFmtId="4" fontId="19" fillId="0" borderId="0" xfId="1" applyNumberFormat="1" applyFont="1" applyAlignment="1">
      <alignment horizontal="center" vertical="center"/>
    </xf>
    <xf numFmtId="0" fontId="8" fillId="0" borderId="55" xfId="1" applyFont="1" applyFill="1" applyBorder="1" applyAlignment="1">
      <alignment horizontal="center" vertical="center" wrapText="1"/>
    </xf>
    <xf numFmtId="3" fontId="8" fillId="0" borderId="55" xfId="1" applyNumberFormat="1" applyFont="1" applyFill="1" applyBorder="1" applyAlignment="1">
      <alignment horizontal="right" vertical="center"/>
    </xf>
    <xf numFmtId="3" fontId="42" fillId="0" borderId="55" xfId="1" applyNumberFormat="1" applyFont="1" applyFill="1" applyBorder="1" applyAlignment="1">
      <alignment horizontal="right" vertical="center"/>
    </xf>
    <xf numFmtId="3" fontId="42" fillId="0" borderId="54" xfId="1" applyNumberFormat="1" applyFont="1" applyFill="1" applyBorder="1" applyAlignment="1">
      <alignment horizontal="right" vertical="center"/>
    </xf>
    <xf numFmtId="3" fontId="8" fillId="0" borderId="54" xfId="1" applyNumberFormat="1" applyFont="1" applyFill="1" applyBorder="1" applyAlignment="1">
      <alignment horizontal="right" vertical="center"/>
    </xf>
    <xf numFmtId="49" fontId="39" fillId="7" borderId="55" xfId="1" applyNumberFormat="1" applyFont="1" applyFill="1" applyBorder="1" applyAlignment="1">
      <alignment horizontal="center" vertical="center"/>
    </xf>
    <xf numFmtId="3" fontId="12" fillId="7" borderId="55" xfId="1" applyNumberFormat="1" applyFont="1" applyFill="1" applyBorder="1" applyAlignment="1">
      <alignment horizontal="right" vertical="center"/>
    </xf>
    <xf numFmtId="3" fontId="12" fillId="7" borderId="54" xfId="1" applyNumberFormat="1" applyFont="1" applyFill="1" applyBorder="1" applyAlignment="1">
      <alignment horizontal="right" vertical="center"/>
    </xf>
    <xf numFmtId="49" fontId="12" fillId="0" borderId="55" xfId="1" applyNumberFormat="1" applyFont="1" applyFill="1" applyBorder="1" applyAlignment="1">
      <alignment horizontal="center" vertical="center"/>
    </xf>
    <xf numFmtId="3" fontId="39" fillId="0" borderId="54" xfId="1" applyNumberFormat="1" applyFont="1" applyFill="1" applyBorder="1" applyAlignment="1">
      <alignment horizontal="right" vertical="center"/>
    </xf>
    <xf numFmtId="0" fontId="12" fillId="7" borderId="55" xfId="1" applyFont="1" applyFill="1" applyBorder="1" applyAlignment="1">
      <alignment horizontal="center" vertical="center"/>
    </xf>
    <xf numFmtId="49" fontId="12" fillId="7" borderId="55" xfId="1" applyNumberFormat="1" applyFont="1" applyFill="1" applyBorder="1" applyAlignment="1">
      <alignment horizontal="center" vertical="center"/>
    </xf>
    <xf numFmtId="3" fontId="19" fillId="9" borderId="0" xfId="1" applyNumberFormat="1" applyFont="1" applyFill="1" applyAlignment="1">
      <alignment horizontal="center" vertical="center"/>
    </xf>
    <xf numFmtId="0" fontId="19" fillId="9" borderId="0" xfId="1" applyFont="1" applyFill="1" applyAlignment="1">
      <alignment horizontal="center" vertical="center"/>
    </xf>
    <xf numFmtId="0" fontId="12" fillId="7" borderId="59" xfId="1" applyFont="1" applyFill="1" applyBorder="1" applyAlignment="1">
      <alignment horizontal="center" vertical="center" wrapText="1"/>
    </xf>
    <xf numFmtId="0" fontId="12" fillId="0" borderId="55" xfId="1" applyFont="1" applyFill="1" applyBorder="1" applyAlignment="1">
      <alignment horizontal="center" vertical="center"/>
    </xf>
    <xf numFmtId="0" fontId="8" fillId="0" borderId="55" xfId="1" applyFont="1" applyFill="1" applyBorder="1" applyAlignment="1">
      <alignment horizontal="center" vertical="center"/>
    </xf>
    <xf numFmtId="0" fontId="8" fillId="0" borderId="58" xfId="1" applyFont="1" applyFill="1" applyBorder="1" applyAlignment="1">
      <alignment horizontal="center" vertical="center"/>
    </xf>
    <xf numFmtId="3" fontId="8" fillId="0" borderId="58" xfId="1" applyNumberFormat="1" applyFont="1" applyFill="1" applyBorder="1" applyAlignment="1">
      <alignment horizontal="right" vertical="center"/>
    </xf>
    <xf numFmtId="3" fontId="8" fillId="0" borderId="56" xfId="1" applyNumberFormat="1" applyFont="1" applyFill="1" applyBorder="1" applyAlignment="1">
      <alignment horizontal="right" vertical="center"/>
    </xf>
    <xf numFmtId="49" fontId="39" fillId="7" borderId="25" xfId="1" applyNumberFormat="1" applyFont="1" applyFill="1" applyBorder="1" applyAlignment="1">
      <alignment horizontal="center" vertical="center"/>
    </xf>
    <xf numFmtId="3" fontId="12" fillId="7" borderId="25" xfId="1" applyNumberFormat="1" applyFont="1" applyFill="1" applyBorder="1" applyAlignment="1">
      <alignment horizontal="right" vertical="center"/>
    </xf>
    <xf numFmtId="3" fontId="12" fillId="7" borderId="40" xfId="1" applyNumberFormat="1" applyFont="1" applyFill="1" applyBorder="1" applyAlignment="1">
      <alignment horizontal="right" vertical="center"/>
    </xf>
    <xf numFmtId="49" fontId="12" fillId="4" borderId="61" xfId="1" applyNumberFormat="1" applyFont="1" applyFill="1" applyBorder="1" applyAlignment="1">
      <alignment horizontal="center" vertical="center"/>
    </xf>
    <xf numFmtId="3" fontId="12" fillId="4" borderId="61" xfId="1" applyNumberFormat="1" applyFont="1" applyFill="1" applyBorder="1" applyAlignment="1">
      <alignment horizontal="right" vertical="center"/>
    </xf>
    <xf numFmtId="49" fontId="19" fillId="0" borderId="0" xfId="1" applyNumberFormat="1" applyFont="1" applyAlignment="1">
      <alignment horizontal="center" vertical="top"/>
    </xf>
    <xf numFmtId="49" fontId="44" fillId="0" borderId="0" xfId="1" applyNumberFormat="1" applyFont="1" applyAlignment="1">
      <alignment horizontal="center" vertical="center"/>
    </xf>
    <xf numFmtId="0" fontId="19" fillId="0" borderId="0" xfId="1" applyFont="1" applyAlignment="1">
      <alignment horizontal="center" vertical="top"/>
    </xf>
    <xf numFmtId="0" fontId="44" fillId="0" borderId="0" xfId="1" applyFont="1" applyAlignment="1">
      <alignment horizontal="center" vertical="center"/>
    </xf>
    <xf numFmtId="0" fontId="43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top"/>
    </xf>
    <xf numFmtId="0" fontId="15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9" fillId="3" borderId="77" xfId="1" applyFont="1" applyFill="1" applyBorder="1" applyAlignment="1">
      <alignment horizontal="center" vertical="center" wrapText="1"/>
    </xf>
    <xf numFmtId="0" fontId="9" fillId="3" borderId="56" xfId="1" applyFont="1" applyFill="1" applyBorder="1" applyAlignment="1">
      <alignment horizontal="center" vertical="center" wrapText="1"/>
    </xf>
    <xf numFmtId="3" fontId="9" fillId="4" borderId="4" xfId="1" applyNumberFormat="1" applyFont="1" applyFill="1" applyBorder="1" applyAlignment="1">
      <alignment horizontal="right" vertical="center"/>
    </xf>
    <xf numFmtId="3" fontId="9" fillId="4" borderId="24" xfId="1" applyNumberFormat="1" applyFont="1" applyFill="1" applyBorder="1" applyAlignment="1">
      <alignment horizontal="right" vertical="center"/>
    </xf>
    <xf numFmtId="3" fontId="9" fillId="4" borderId="52" xfId="1" applyNumberFormat="1" applyFont="1" applyFill="1" applyBorder="1" applyAlignment="1">
      <alignment horizontal="right" vertical="center"/>
    </xf>
    <xf numFmtId="3" fontId="8" fillId="0" borderId="18" xfId="1" applyNumberFormat="1" applyFont="1" applyBorder="1" applyAlignment="1">
      <alignment horizontal="right" vertical="center"/>
    </xf>
    <xf numFmtId="3" fontId="8" fillId="0" borderId="78" xfId="1" applyNumberFormat="1" applyFont="1" applyBorder="1" applyAlignment="1">
      <alignment horizontal="right" vertical="center"/>
    </xf>
    <xf numFmtId="3" fontId="8" fillId="0" borderId="66" xfId="1" applyNumberFormat="1" applyFont="1" applyBorder="1" applyAlignment="1">
      <alignment horizontal="right" vertical="center"/>
    </xf>
    <xf numFmtId="0" fontId="7" fillId="0" borderId="33" xfId="1" applyFont="1" applyBorder="1" applyAlignment="1">
      <alignment horizontal="center" vertical="center"/>
    </xf>
    <xf numFmtId="49" fontId="8" fillId="7" borderId="73" xfId="1" applyNumberFormat="1" applyFont="1" applyFill="1" applyBorder="1" applyAlignment="1">
      <alignment horizontal="center" vertical="center" wrapText="1"/>
    </xf>
    <xf numFmtId="3" fontId="7" fillId="0" borderId="34" xfId="1" applyNumberFormat="1" applyFont="1" applyBorder="1" applyAlignment="1">
      <alignment horizontal="right" vertical="center"/>
    </xf>
    <xf numFmtId="3" fontId="7" fillId="0" borderId="77" xfId="1" applyNumberFormat="1" applyFont="1" applyBorder="1" applyAlignment="1">
      <alignment horizontal="right" vertical="center"/>
    </xf>
    <xf numFmtId="3" fontId="38" fillId="0" borderId="56" xfId="1" applyNumberFormat="1" applyFont="1" applyBorder="1" applyAlignment="1">
      <alignment vertical="center"/>
    </xf>
    <xf numFmtId="0" fontId="7" fillId="0" borderId="50" xfId="1" applyFont="1" applyBorder="1" applyAlignment="1">
      <alignment horizontal="center" vertical="center"/>
    </xf>
    <xf numFmtId="49" fontId="8" fillId="7" borderId="44" xfId="1" applyNumberFormat="1" applyFont="1" applyFill="1" applyBorder="1" applyAlignment="1">
      <alignment horizontal="center" vertical="center" wrapText="1"/>
    </xf>
    <xf numFmtId="3" fontId="38" fillId="0" borderId="50" xfId="1" applyNumberFormat="1" applyFont="1" applyBorder="1" applyAlignment="1">
      <alignment horizontal="right" vertical="center"/>
    </xf>
    <xf numFmtId="3" fontId="7" fillId="0" borderId="44" xfId="1" applyNumberFormat="1" applyFont="1" applyBorder="1" applyAlignment="1">
      <alignment vertical="center"/>
    </xf>
    <xf numFmtId="0" fontId="7" fillId="0" borderId="77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49" fontId="8" fillId="7" borderId="51" xfId="1" applyNumberFormat="1" applyFont="1" applyFill="1" applyBorder="1" applyAlignment="1">
      <alignment horizontal="center" vertical="center" wrapText="1"/>
    </xf>
    <xf numFmtId="3" fontId="8" fillId="0" borderId="8" xfId="1" applyNumberFormat="1" applyFont="1" applyBorder="1" applyAlignment="1">
      <alignment horizontal="right" vertical="center"/>
    </xf>
    <xf numFmtId="3" fontId="12" fillId="3" borderId="4" xfId="1" applyNumberFormat="1" applyFont="1" applyFill="1" applyBorder="1" applyAlignment="1">
      <alignment horizontal="right" vertical="center"/>
    </xf>
    <xf numFmtId="3" fontId="12" fillId="3" borderId="24" xfId="1" applyNumberFormat="1" applyFont="1" applyFill="1" applyBorder="1" applyAlignment="1">
      <alignment horizontal="right" vertical="center"/>
    </xf>
    <xf numFmtId="3" fontId="12" fillId="3" borderId="12" xfId="1" applyNumberFormat="1" applyFont="1" applyFill="1" applyBorder="1" applyAlignment="1">
      <alignment horizontal="right" vertical="center"/>
    </xf>
    <xf numFmtId="49" fontId="23" fillId="0" borderId="0" xfId="1" applyNumberFormat="1" applyFont="1" applyBorder="1" applyAlignment="1">
      <alignment horizontal="center" vertical="top"/>
    </xf>
    <xf numFmtId="49" fontId="44" fillId="0" borderId="0" xfId="1" applyNumberFormat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3" fontId="28" fillId="0" borderId="0" xfId="1" applyNumberFormat="1" applyFont="1" applyBorder="1" applyAlignment="1">
      <alignment horizontal="right" vertical="center"/>
    </xf>
    <xf numFmtId="3" fontId="19" fillId="0" borderId="0" xfId="1" applyNumberFormat="1" applyFont="1" applyBorder="1" applyAlignment="1">
      <alignment horizontal="center" vertical="center"/>
    </xf>
    <xf numFmtId="49" fontId="23" fillId="0" borderId="0" xfId="1" applyNumberFormat="1" applyFont="1" applyAlignment="1">
      <alignment horizontal="center" vertical="top"/>
    </xf>
    <xf numFmtId="49" fontId="20" fillId="0" borderId="70" xfId="1" applyNumberFormat="1" applyFont="1" applyBorder="1" applyAlignment="1">
      <alignment horizontal="center" vertical="center"/>
    </xf>
    <xf numFmtId="3" fontId="11" fillId="4" borderId="13" xfId="1" applyNumberFormat="1" applyFont="1" applyFill="1" applyBorder="1" applyAlignment="1">
      <alignment horizontal="right" vertical="center"/>
    </xf>
    <xf numFmtId="3" fontId="11" fillId="4" borderId="4" xfId="1" applyNumberFormat="1" applyFont="1" applyFill="1" applyBorder="1" applyAlignment="1">
      <alignment horizontal="right" vertical="center"/>
    </xf>
    <xf numFmtId="3" fontId="20" fillId="0" borderId="4" xfId="1" applyNumberFormat="1" applyFont="1" applyFill="1" applyBorder="1" applyAlignment="1">
      <alignment horizontal="right" vertical="center" wrapText="1"/>
    </xf>
    <xf numFmtId="3" fontId="20" fillId="0" borderId="4" xfId="1" applyNumberFormat="1" applyFont="1" applyBorder="1" applyAlignment="1">
      <alignment horizontal="right" vertical="center" wrapText="1"/>
    </xf>
    <xf numFmtId="3" fontId="20" fillId="0" borderId="8" xfId="1" applyNumberFormat="1" applyFont="1" applyFill="1" applyBorder="1" applyAlignment="1">
      <alignment horizontal="right" vertical="center" wrapText="1"/>
    </xf>
    <xf numFmtId="3" fontId="20" fillId="0" borderId="74" xfId="1" applyNumberFormat="1" applyFont="1" applyFill="1" applyBorder="1" applyAlignment="1">
      <alignment horizontal="right" vertical="center" wrapText="1"/>
    </xf>
    <xf numFmtId="3" fontId="20" fillId="0" borderId="7" xfId="1" applyNumberFormat="1" applyFont="1" applyFill="1" applyBorder="1" applyAlignment="1">
      <alignment horizontal="right" vertical="center" wrapText="1"/>
    </xf>
    <xf numFmtId="0" fontId="20" fillId="0" borderId="80" xfId="1" applyNumberFormat="1" applyFont="1" applyFill="1" applyBorder="1" applyAlignment="1">
      <alignment horizontal="center" vertical="center" wrapText="1"/>
    </xf>
    <xf numFmtId="0" fontId="20" fillId="0" borderId="12" xfId="1" applyNumberFormat="1" applyFont="1" applyFill="1" applyBorder="1" applyAlignment="1">
      <alignment horizontal="center" vertical="center" wrapText="1"/>
    </xf>
    <xf numFmtId="0" fontId="20" fillId="0" borderId="12" xfId="1" applyNumberFormat="1" applyFont="1" applyBorder="1" applyAlignment="1">
      <alignment horizontal="center" vertical="center" wrapText="1"/>
    </xf>
    <xf numFmtId="0" fontId="20" fillId="0" borderId="12" xfId="1" applyNumberFormat="1" applyFont="1" applyFill="1" applyBorder="1" applyAlignment="1">
      <alignment horizontal="center" vertical="center"/>
    </xf>
    <xf numFmtId="49" fontId="11" fillId="0" borderId="7" xfId="1" applyNumberFormat="1" applyFont="1" applyFill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49" fontId="11" fillId="0" borderId="4" xfId="1" applyNumberFormat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3" fontId="20" fillId="6" borderId="13" xfId="1" applyNumberFormat="1" applyFont="1" applyFill="1" applyBorder="1" applyAlignment="1">
      <alignment horizontal="right" vertical="center" wrapText="1"/>
    </xf>
    <xf numFmtId="3" fontId="20" fillId="6" borderId="13" xfId="1" applyNumberFormat="1" applyFont="1" applyFill="1" applyBorder="1" applyAlignment="1">
      <alignment horizontal="right" vertical="center"/>
    </xf>
    <xf numFmtId="0" fontId="20" fillId="0" borderId="7" xfId="1" applyFont="1" applyFill="1" applyBorder="1" applyAlignment="1">
      <alignment horizontal="left" vertical="center" wrapText="1"/>
    </xf>
    <xf numFmtId="0" fontId="20" fillId="0" borderId="4" xfId="1" applyFont="1" applyBorder="1" applyAlignment="1">
      <alignment horizontal="left" vertical="center" wrapText="1"/>
    </xf>
    <xf numFmtId="0" fontId="20" fillId="0" borderId="4" xfId="1" applyFont="1" applyBorder="1" applyAlignment="1">
      <alignment vertical="center" wrapText="1"/>
    </xf>
    <xf numFmtId="3" fontId="20" fillId="0" borderId="71" xfId="1" applyNumberFormat="1" applyFont="1" applyBorder="1" applyAlignment="1">
      <alignment horizontal="right" vertical="center"/>
    </xf>
    <xf numFmtId="0" fontId="20" fillId="4" borderId="61" xfId="1" applyNumberFormat="1" applyFont="1" applyFill="1" applyBorder="1" applyAlignment="1">
      <alignment horizontal="center" vertical="center"/>
    </xf>
    <xf numFmtId="3" fontId="11" fillId="4" borderId="61" xfId="1" applyNumberFormat="1" applyFont="1" applyFill="1" applyBorder="1" applyAlignment="1">
      <alignment horizontal="right" vertical="center"/>
    </xf>
    <xf numFmtId="49" fontId="20" fillId="0" borderId="48" xfId="10" applyNumberFormat="1" applyFont="1" applyFill="1" applyBorder="1" applyAlignment="1" applyProtection="1">
      <alignment horizontal="center" vertical="center" wrapText="1"/>
      <protection locked="0"/>
    </xf>
    <xf numFmtId="0" fontId="20" fillId="0" borderId="78" xfId="1" applyFont="1" applyFill="1" applyBorder="1" applyAlignment="1">
      <alignment horizontal="center" vertical="center" wrapText="1"/>
    </xf>
    <xf numFmtId="0" fontId="20" fillId="0" borderId="59" xfId="1" applyNumberFormat="1" applyFont="1" applyFill="1" applyBorder="1" applyAlignment="1">
      <alignment horizontal="center" vertical="center"/>
    </xf>
    <xf numFmtId="3" fontId="20" fillId="0" borderId="59" xfId="1" applyNumberFormat="1" applyFont="1" applyFill="1" applyBorder="1" applyAlignment="1">
      <alignment horizontal="right" vertical="center"/>
    </xf>
    <xf numFmtId="3" fontId="11" fillId="5" borderId="61" xfId="1" applyNumberFormat="1" applyFont="1" applyFill="1" applyBorder="1" applyAlignment="1">
      <alignment horizontal="right" vertical="center"/>
    </xf>
    <xf numFmtId="0" fontId="20" fillId="0" borderId="65" xfId="1" applyNumberFormat="1" applyFont="1" applyBorder="1" applyAlignment="1">
      <alignment horizontal="center" vertical="center"/>
    </xf>
    <xf numFmtId="3" fontId="20" fillId="0" borderId="8" xfId="1" applyNumberFormat="1" applyFont="1" applyBorder="1" applyAlignment="1">
      <alignment horizontal="right" vertical="center"/>
    </xf>
    <xf numFmtId="3" fontId="20" fillId="6" borderId="75" xfId="1" applyNumberFormat="1" applyFont="1" applyFill="1" applyBorder="1" applyAlignment="1">
      <alignment horizontal="right" vertical="center"/>
    </xf>
    <xf numFmtId="3" fontId="20" fillId="0" borderId="7" xfId="1" applyNumberFormat="1" applyFont="1" applyBorder="1" applyAlignment="1">
      <alignment horizontal="right" vertical="center"/>
    </xf>
    <xf numFmtId="3" fontId="20" fillId="6" borderId="74" xfId="1" applyNumberFormat="1" applyFont="1" applyFill="1" applyBorder="1" applyAlignment="1">
      <alignment horizontal="right" vertical="center"/>
    </xf>
    <xf numFmtId="49" fontId="11" fillId="0" borderId="8" xfId="1" applyNumberFormat="1" applyFont="1" applyBorder="1" applyAlignment="1">
      <alignment horizontal="center" vertical="center"/>
    </xf>
    <xf numFmtId="0" fontId="20" fillId="0" borderId="65" xfId="1" applyNumberFormat="1" applyFont="1" applyFill="1" applyBorder="1" applyAlignment="1">
      <alignment horizontal="center" vertical="center"/>
    </xf>
    <xf numFmtId="3" fontId="20" fillId="0" borderId="8" xfId="1" applyNumberFormat="1" applyFont="1" applyFill="1" applyBorder="1" applyAlignment="1">
      <alignment horizontal="right" vertical="center"/>
    </xf>
    <xf numFmtId="0" fontId="20" fillId="0" borderId="8" xfId="1" applyFont="1" applyBorder="1" applyAlignment="1">
      <alignment horizontal="left" vertical="center" wrapText="1"/>
    </xf>
    <xf numFmtId="49" fontId="11" fillId="0" borderId="7" xfId="1" applyNumberFormat="1" applyFont="1" applyBorder="1" applyAlignment="1">
      <alignment horizontal="center" vertical="center"/>
    </xf>
    <xf numFmtId="0" fontId="20" fillId="0" borderId="80" xfId="1" applyNumberFormat="1" applyFont="1" applyFill="1" applyBorder="1" applyAlignment="1">
      <alignment horizontal="center" vertical="center"/>
    </xf>
    <xf numFmtId="3" fontId="20" fillId="0" borderId="7" xfId="1" applyNumberFormat="1" applyFont="1" applyFill="1" applyBorder="1" applyAlignment="1">
      <alignment horizontal="right" vertical="center"/>
    </xf>
    <xf numFmtId="0" fontId="20" fillId="0" borderId="7" xfId="1" applyFont="1" applyBorder="1" applyAlignment="1">
      <alignment vertical="center" wrapText="1"/>
    </xf>
    <xf numFmtId="0" fontId="20" fillId="0" borderId="8" xfId="1" applyFont="1" applyBorder="1" applyAlignment="1">
      <alignment vertical="center" wrapText="1"/>
    </xf>
    <xf numFmtId="0" fontId="11" fillId="0" borderId="6" xfId="1" applyFont="1" applyBorder="1" applyAlignment="1">
      <alignment horizontal="center" vertical="center"/>
    </xf>
    <xf numFmtId="3" fontId="11" fillId="4" borderId="4" xfId="1" applyNumberFormat="1" applyFont="1" applyFill="1" applyBorder="1" applyAlignment="1">
      <alignment horizontal="center" vertical="center" wrapText="1"/>
    </xf>
    <xf numFmtId="0" fontId="37" fillId="4" borderId="4" xfId="1" applyFont="1" applyFill="1" applyBorder="1" applyAlignment="1">
      <alignment horizontal="center" vertical="center" wrapText="1"/>
    </xf>
    <xf numFmtId="0" fontId="11" fillId="0" borderId="49" xfId="1" applyFont="1" applyBorder="1" applyAlignment="1">
      <alignment horizontal="center" vertical="center"/>
    </xf>
    <xf numFmtId="0" fontId="14" fillId="0" borderId="0" xfId="1" applyFont="1" applyAlignment="1">
      <alignment horizontal="right" vertical="center" wrapText="1"/>
    </xf>
    <xf numFmtId="3" fontId="34" fillId="0" borderId="0" xfId="1" applyNumberFormat="1" applyFont="1" applyAlignment="1">
      <alignment horizontal="right"/>
    </xf>
    <xf numFmtId="3" fontId="5" fillId="0" borderId="0" xfId="1" applyNumberFormat="1" applyAlignment="1">
      <alignment horizontal="right"/>
    </xf>
    <xf numFmtId="0" fontId="12" fillId="4" borderId="55" xfId="1" applyFont="1" applyFill="1" applyBorder="1" applyAlignment="1">
      <alignment horizontal="center" vertical="center"/>
    </xf>
    <xf numFmtId="0" fontId="7" fillId="0" borderId="68" xfId="1" applyFont="1" applyBorder="1" applyAlignment="1">
      <alignment horizontal="center" vertical="center"/>
    </xf>
    <xf numFmtId="3" fontId="7" fillId="0" borderId="55" xfId="1" applyNumberFormat="1" applyFont="1" applyBorder="1" applyAlignment="1">
      <alignment horizontal="right" vertical="center"/>
    </xf>
    <xf numFmtId="3" fontId="7" fillId="0" borderId="55" xfId="1" applyNumberFormat="1" applyFont="1" applyBorder="1" applyAlignment="1">
      <alignment vertical="center" wrapText="1"/>
    </xf>
    <xf numFmtId="3" fontId="7" fillId="0" borderId="56" xfId="1" applyNumberFormat="1" applyFont="1" applyBorder="1" applyAlignment="1">
      <alignment horizontal="left" vertical="center" wrapText="1"/>
    </xf>
    <xf numFmtId="3" fontId="5" fillId="0" borderId="0" xfId="1" applyNumberFormat="1" applyFont="1"/>
    <xf numFmtId="3" fontId="12" fillId="4" borderId="43" xfId="1" applyNumberFormat="1" applyFont="1" applyFill="1" applyBorder="1" applyAlignment="1">
      <alignment horizontal="right" vertical="center"/>
    </xf>
    <xf numFmtId="3" fontId="12" fillId="4" borderId="44" xfId="1" applyNumberFormat="1" applyFont="1" applyFill="1" applyBorder="1" applyAlignment="1">
      <alignment vertical="center"/>
    </xf>
    <xf numFmtId="3" fontId="5" fillId="0" borderId="0" xfId="1" applyNumberFormat="1" applyAlignment="1"/>
    <xf numFmtId="49" fontId="12" fillId="0" borderId="0" xfId="1" applyNumberFormat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right" vertical="center"/>
    </xf>
    <xf numFmtId="3" fontId="12" fillId="0" borderId="0" xfId="1" applyNumberFormat="1" applyFont="1" applyFill="1" applyBorder="1" applyAlignment="1">
      <alignment vertical="center"/>
    </xf>
    <xf numFmtId="3" fontId="5" fillId="0" borderId="0" xfId="1" applyNumberFormat="1" applyFill="1" applyAlignment="1"/>
    <xf numFmtId="3" fontId="5" fillId="0" borderId="0" xfId="1" applyNumberFormat="1" applyFill="1"/>
    <xf numFmtId="0" fontId="5" fillId="0" borderId="0" xfId="1" applyFill="1"/>
    <xf numFmtId="0" fontId="45" fillId="0" borderId="0" xfId="1" applyFont="1" applyFill="1" applyBorder="1"/>
    <xf numFmtId="3" fontId="40" fillId="0" borderId="0" xfId="1" applyNumberFormat="1" applyFont="1" applyBorder="1" applyAlignment="1"/>
    <xf numFmtId="3" fontId="40" fillId="0" borderId="0" xfId="1" applyNumberFormat="1" applyFont="1" applyBorder="1"/>
    <xf numFmtId="0" fontId="45" fillId="0" borderId="0" xfId="1" applyFont="1" applyFill="1"/>
    <xf numFmtId="3" fontId="5" fillId="0" borderId="0" xfId="1" applyNumberFormat="1" applyFont="1" applyBorder="1"/>
    <xf numFmtId="0" fontId="46" fillId="0" borderId="0" xfId="1" applyFont="1" applyFill="1"/>
    <xf numFmtId="0" fontId="45" fillId="0" borderId="0" xfId="1" applyFont="1" applyBorder="1"/>
    <xf numFmtId="0" fontId="45" fillId="0" borderId="0" xfId="1" applyFont="1"/>
    <xf numFmtId="0" fontId="40" fillId="0" borderId="0" xfId="1" applyFont="1" applyBorder="1"/>
    <xf numFmtId="0" fontId="40" fillId="0" borderId="0" xfId="1" applyFont="1"/>
    <xf numFmtId="0" fontId="45" fillId="0" borderId="0" xfId="1" applyFont="1" applyBorder="1" applyAlignment="1">
      <alignment horizontal="right"/>
    </xf>
    <xf numFmtId="3" fontId="45" fillId="0" borderId="0" xfId="1" applyNumberFormat="1" applyFont="1" applyBorder="1"/>
    <xf numFmtId="0" fontId="45" fillId="0" borderId="0" xfId="1" applyFont="1" applyAlignment="1">
      <alignment horizontal="right"/>
    </xf>
    <xf numFmtId="3" fontId="34" fillId="0" borderId="0" xfId="1" applyNumberFormat="1" applyFont="1" applyAlignment="1"/>
    <xf numFmtId="3" fontId="46" fillId="0" borderId="0" xfId="1" applyNumberFormat="1" applyFont="1"/>
    <xf numFmtId="0" fontId="46" fillId="0" borderId="0" xfId="1" applyFont="1"/>
    <xf numFmtId="3" fontId="40" fillId="0" borderId="0" xfId="1" applyNumberFormat="1" applyFont="1" applyBorder="1" applyAlignment="1">
      <alignment horizontal="right"/>
    </xf>
    <xf numFmtId="0" fontId="5" fillId="0" borderId="0" xfId="1" applyFont="1" applyAlignment="1">
      <alignment horizontal="left"/>
    </xf>
    <xf numFmtId="0" fontId="7" fillId="0" borderId="55" xfId="1" applyFont="1" applyFill="1" applyBorder="1" applyAlignment="1">
      <alignment horizontal="center" vertical="center"/>
    </xf>
    <xf numFmtId="3" fontId="7" fillId="0" borderId="58" xfId="1" applyNumberFormat="1" applyFont="1" applyFill="1" applyBorder="1" applyAlignment="1">
      <alignment horizontal="right" vertical="center" wrapText="1"/>
    </xf>
    <xf numFmtId="3" fontId="7" fillId="0" borderId="58" xfId="1" applyNumberFormat="1" applyFont="1" applyFill="1" applyBorder="1" applyAlignment="1">
      <alignment horizontal="right" vertical="center"/>
    </xf>
    <xf numFmtId="3" fontId="40" fillId="0" borderId="0" xfId="1" applyNumberFormat="1" applyFont="1" applyFill="1"/>
    <xf numFmtId="0" fontId="40" fillId="0" borderId="0" xfId="1" applyFont="1" applyFill="1"/>
    <xf numFmtId="0" fontId="7" fillId="0" borderId="58" xfId="1" applyFont="1" applyFill="1" applyBorder="1" applyAlignment="1">
      <alignment horizontal="center" vertical="center"/>
    </xf>
    <xf numFmtId="0" fontId="7" fillId="0" borderId="68" xfId="1" applyFont="1" applyFill="1" applyBorder="1" applyAlignment="1">
      <alignment horizontal="center" vertical="center"/>
    </xf>
    <xf numFmtId="3" fontId="7" fillId="0" borderId="55" xfId="1" applyNumberFormat="1" applyFont="1" applyFill="1" applyBorder="1" applyAlignment="1">
      <alignment horizontal="right" vertical="center" wrapText="1"/>
    </xf>
    <xf numFmtId="3" fontId="7" fillId="0" borderId="55" xfId="1" applyNumberFormat="1" applyFont="1" applyFill="1" applyBorder="1" applyAlignment="1">
      <alignment horizontal="right" vertical="center"/>
    </xf>
    <xf numFmtId="0" fontId="7" fillId="0" borderId="59" xfId="1" applyFont="1" applyFill="1" applyBorder="1" applyAlignment="1">
      <alignment horizontal="center" vertical="center"/>
    </xf>
    <xf numFmtId="3" fontId="7" fillId="0" borderId="59" xfId="1" applyNumberFormat="1" applyFont="1" applyFill="1" applyBorder="1" applyAlignment="1">
      <alignment horizontal="right" vertical="center"/>
    </xf>
    <xf numFmtId="0" fontId="7" fillId="0" borderId="37" xfId="1" applyFont="1" applyBorder="1" applyAlignment="1">
      <alignment horizontal="center" vertical="center"/>
    </xf>
    <xf numFmtId="3" fontId="7" fillId="0" borderId="55" xfId="1" applyNumberFormat="1" applyFont="1" applyBorder="1" applyAlignment="1">
      <alignment horizontal="right" vertical="center" wrapText="1"/>
    </xf>
    <xf numFmtId="3" fontId="47" fillId="0" borderId="0" xfId="1" applyNumberFormat="1" applyFont="1"/>
    <xf numFmtId="3" fontId="40" fillId="0" borderId="0" xfId="1" applyNumberFormat="1" applyFont="1"/>
    <xf numFmtId="0" fontId="7" fillId="0" borderId="59" xfId="1" applyFont="1" applyBorder="1" applyAlignment="1">
      <alignment horizontal="center" vertical="center"/>
    </xf>
    <xf numFmtId="3" fontId="12" fillId="4" borderId="50" xfId="1" applyNumberFormat="1" applyFont="1" applyFill="1" applyBorder="1" applyAlignment="1">
      <alignment horizontal="right" vertical="center"/>
    </xf>
    <xf numFmtId="3" fontId="48" fillId="0" borderId="0" xfId="1" applyNumberFormat="1" applyFont="1"/>
    <xf numFmtId="0" fontId="5" fillId="0" borderId="0" xfId="1" applyAlignment="1">
      <alignment horizontal="right"/>
    </xf>
    <xf numFmtId="3" fontId="5" fillId="0" borderId="55" xfId="1" applyNumberFormat="1" applyFont="1" applyBorder="1" applyAlignment="1">
      <alignment horizontal="right" vertical="center"/>
    </xf>
    <xf numFmtId="0" fontId="7" fillId="0" borderId="54" xfId="1" applyFont="1" applyFill="1" applyBorder="1" applyAlignment="1">
      <alignment horizontal="left" vertical="center" wrapText="1"/>
    </xf>
    <xf numFmtId="3" fontId="7" fillId="0" borderId="59" xfId="1" applyNumberFormat="1" applyFont="1" applyBorder="1" applyAlignment="1">
      <alignment horizontal="right" vertical="center"/>
    </xf>
    <xf numFmtId="0" fontId="46" fillId="0" borderId="0" xfId="1" applyFont="1" applyAlignment="1">
      <alignment horizontal="right"/>
    </xf>
    <xf numFmtId="3" fontId="46" fillId="0" borderId="0" xfId="1" applyNumberFormat="1" applyFont="1" applyAlignment="1">
      <alignment vertical="center"/>
    </xf>
    <xf numFmtId="3" fontId="5" fillId="0" borderId="0" xfId="1" applyNumberFormat="1" applyAlignment="1">
      <alignment vertical="center"/>
    </xf>
    <xf numFmtId="3" fontId="48" fillId="0" borderId="0" xfId="1" applyNumberFormat="1" applyFont="1" applyAlignment="1">
      <alignment horizontal="right"/>
    </xf>
    <xf numFmtId="3" fontId="5" fillId="0" borderId="0" xfId="1" applyNumberFormat="1" applyFont="1" applyAlignment="1">
      <alignment horizontal="right"/>
    </xf>
    <xf numFmtId="3" fontId="48" fillId="0" borderId="0" xfId="1" applyNumberFormat="1" applyFont="1" applyAlignment="1">
      <alignment horizontal="center"/>
    </xf>
    <xf numFmtId="3" fontId="5" fillId="0" borderId="0" xfId="1" applyNumberFormat="1" applyAlignment="1">
      <alignment horizontal="center"/>
    </xf>
    <xf numFmtId="3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39" fillId="4" borderId="0" xfId="1" applyFont="1" applyFill="1" applyBorder="1" applyAlignment="1">
      <alignment horizontal="center" vertical="center"/>
    </xf>
    <xf numFmtId="0" fontId="38" fillId="0" borderId="0" xfId="1" applyFont="1" applyBorder="1" applyAlignment="1">
      <alignment horizontal="center" vertical="center"/>
    </xf>
    <xf numFmtId="3" fontId="38" fillId="0" borderId="0" xfId="1" applyNumberFormat="1" applyFont="1" applyBorder="1" applyAlignment="1">
      <alignment horizontal="right" vertical="center"/>
    </xf>
    <xf numFmtId="3" fontId="38" fillId="0" borderId="0" xfId="1" applyNumberFormat="1" applyFont="1" applyBorder="1" applyAlignment="1">
      <alignment horizontal="right" vertical="center" wrapText="1"/>
    </xf>
    <xf numFmtId="3" fontId="39" fillId="4" borderId="0" xfId="1" applyNumberFormat="1" applyFont="1" applyFill="1" applyBorder="1" applyAlignment="1">
      <alignment horizontal="right" vertical="center"/>
    </xf>
    <xf numFmtId="3" fontId="39" fillId="4" borderId="0" xfId="1" applyNumberFormat="1" applyFont="1" applyFill="1" applyBorder="1" applyAlignment="1">
      <alignment vertical="center"/>
    </xf>
    <xf numFmtId="3" fontId="20" fillId="6" borderId="0" xfId="0" applyNumberFormat="1" applyFont="1" applyFill="1" applyBorder="1" applyAlignment="1">
      <alignment horizontal="left" vertical="center" wrapText="1"/>
    </xf>
    <xf numFmtId="0" fontId="53" fillId="0" borderId="0" xfId="1" applyFont="1" applyAlignment="1">
      <alignment vertical="center" wrapText="1"/>
    </xf>
    <xf numFmtId="49" fontId="9" fillId="11" borderId="29" xfId="1" applyNumberFormat="1" applyFont="1" applyFill="1" applyBorder="1" applyAlignment="1">
      <alignment horizontal="center" vertical="center"/>
    </xf>
    <xf numFmtId="0" fontId="5" fillId="0" borderId="0" xfId="1" applyFont="1" applyFill="1"/>
    <xf numFmtId="0" fontId="60" fillId="0" borderId="0" xfId="1" applyFont="1" applyFill="1"/>
    <xf numFmtId="3" fontId="60" fillId="0" borderId="0" xfId="1" applyNumberFormat="1" applyFont="1" applyFill="1"/>
    <xf numFmtId="0" fontId="60" fillId="0" borderId="0" xfId="1" applyFont="1"/>
    <xf numFmtId="3" fontId="60" fillId="0" borderId="0" xfId="1" applyNumberFormat="1" applyFont="1"/>
    <xf numFmtId="49" fontId="63" fillId="0" borderId="36" xfId="1" applyNumberFormat="1" applyFont="1" applyFill="1" applyBorder="1" applyAlignment="1">
      <alignment vertical="center"/>
    </xf>
    <xf numFmtId="0" fontId="64" fillId="0" borderId="59" xfId="1" applyFont="1" applyFill="1" applyBorder="1" applyAlignment="1">
      <alignment vertical="center" wrapText="1"/>
    </xf>
    <xf numFmtId="0" fontId="63" fillId="0" borderId="59" xfId="1" applyFont="1" applyFill="1" applyBorder="1" applyAlignment="1">
      <alignment vertical="center"/>
    </xf>
    <xf numFmtId="49" fontId="63" fillId="0" borderId="59" xfId="1" applyNumberFormat="1" applyFont="1" applyFill="1" applyBorder="1" applyAlignment="1">
      <alignment vertical="center"/>
    </xf>
    <xf numFmtId="49" fontId="63" fillId="0" borderId="59" xfId="1" applyNumberFormat="1" applyFont="1" applyFill="1" applyBorder="1" applyAlignment="1">
      <alignment horizontal="center" vertical="center"/>
    </xf>
    <xf numFmtId="3" fontId="63" fillId="0" borderId="59" xfId="1" applyNumberFormat="1" applyFont="1" applyFill="1" applyBorder="1" applyAlignment="1">
      <alignment vertical="center"/>
    </xf>
    <xf numFmtId="49" fontId="63" fillId="0" borderId="62" xfId="1" applyNumberFormat="1" applyFont="1" applyFill="1" applyBorder="1" applyAlignment="1">
      <alignment vertical="center"/>
    </xf>
    <xf numFmtId="3" fontId="50" fillId="0" borderId="59" xfId="1" applyNumberFormat="1" applyFont="1" applyFill="1" applyBorder="1" applyAlignment="1">
      <alignment vertical="center"/>
    </xf>
    <xf numFmtId="0" fontId="54" fillId="0" borderId="0" xfId="1" applyFont="1" applyFill="1"/>
    <xf numFmtId="0" fontId="54" fillId="0" borderId="0" xfId="1" applyFont="1"/>
    <xf numFmtId="49" fontId="9" fillId="11" borderId="38" xfId="1" applyNumberFormat="1" applyFont="1" applyFill="1" applyBorder="1" applyAlignment="1">
      <alignment horizontal="center" vertical="center"/>
    </xf>
    <xf numFmtId="3" fontId="9" fillId="11" borderId="25" xfId="1" applyNumberFormat="1" applyFont="1" applyFill="1" applyBorder="1" applyAlignment="1">
      <alignment vertical="center"/>
    </xf>
    <xf numFmtId="3" fontId="9" fillId="11" borderId="40" xfId="1" applyNumberFormat="1" applyFont="1" applyFill="1" applyBorder="1" applyAlignment="1">
      <alignment vertical="center"/>
    </xf>
    <xf numFmtId="0" fontId="65" fillId="0" borderId="0" xfId="1" applyFont="1" applyBorder="1"/>
    <xf numFmtId="0" fontId="65" fillId="0" borderId="0" xfId="1" applyFont="1"/>
    <xf numFmtId="49" fontId="9" fillId="11" borderId="36" xfId="1" applyNumberFormat="1" applyFont="1" applyFill="1" applyBorder="1" applyAlignment="1">
      <alignment horizontal="center" vertical="center"/>
    </xf>
    <xf numFmtId="3" fontId="9" fillId="11" borderId="59" xfId="1" applyNumberFormat="1" applyFont="1" applyFill="1" applyBorder="1" applyAlignment="1">
      <alignment vertical="center"/>
    </xf>
    <xf numFmtId="3" fontId="16" fillId="4" borderId="9" xfId="1" applyNumberFormat="1" applyFont="1" applyFill="1" applyBorder="1" applyAlignment="1">
      <alignment horizontal="right" vertical="center"/>
    </xf>
    <xf numFmtId="0" fontId="7" fillId="5" borderId="4" xfId="1" applyFont="1" applyFill="1" applyBorder="1"/>
    <xf numFmtId="0" fontId="20" fillId="0" borderId="18" xfId="1" applyFont="1" applyFill="1" applyBorder="1" applyAlignment="1">
      <alignment vertical="center" wrapText="1"/>
    </xf>
    <xf numFmtId="0" fontId="20" fillId="4" borderId="4" xfId="1" applyFont="1" applyFill="1" applyBorder="1" applyAlignment="1">
      <alignment horizontal="left" vertical="center" wrapText="1"/>
    </xf>
    <xf numFmtId="0" fontId="20" fillId="0" borderId="14" xfId="1" applyFont="1" applyBorder="1" applyAlignment="1">
      <alignment horizontal="left" vertical="center" wrapText="1"/>
    </xf>
    <xf numFmtId="3" fontId="11" fillId="5" borderId="28" xfId="1" applyNumberFormat="1" applyFont="1" applyFill="1" applyBorder="1" applyAlignment="1">
      <alignment horizontal="right" vertical="center"/>
    </xf>
    <xf numFmtId="3" fontId="20" fillId="0" borderId="79" xfId="1" applyNumberFormat="1" applyFont="1" applyFill="1" applyBorder="1" applyAlignment="1">
      <alignment horizontal="right" vertical="center"/>
    </xf>
    <xf numFmtId="3" fontId="11" fillId="4" borderId="28" xfId="1" applyNumberFormat="1" applyFont="1" applyFill="1" applyBorder="1" applyAlignment="1">
      <alignment horizontal="right" vertical="center"/>
    </xf>
    <xf numFmtId="3" fontId="9" fillId="5" borderId="4" xfId="1" applyNumberFormat="1" applyFont="1" applyFill="1" applyBorder="1" applyAlignment="1">
      <alignment horizontal="right" vertical="center"/>
    </xf>
    <xf numFmtId="3" fontId="20" fillId="0" borderId="18" xfId="1" applyNumberFormat="1" applyFont="1" applyFill="1" applyBorder="1" applyAlignment="1">
      <alignment horizontal="center" vertical="center" wrapText="1"/>
    </xf>
    <xf numFmtId="3" fontId="20" fillId="4" borderId="4" xfId="1" applyNumberFormat="1" applyFont="1" applyFill="1" applyBorder="1" applyAlignment="1">
      <alignment horizontal="center" vertical="center" wrapText="1"/>
    </xf>
    <xf numFmtId="3" fontId="20" fillId="0" borderId="14" xfId="1" applyNumberFormat="1" applyFont="1" applyBorder="1" applyAlignment="1">
      <alignment horizontal="center" vertical="center" wrapText="1"/>
    </xf>
    <xf numFmtId="3" fontId="7" fillId="6" borderId="59" xfId="1" applyNumberFormat="1" applyFont="1" applyFill="1" applyBorder="1" applyAlignment="1">
      <alignment horizontal="right" vertical="center"/>
    </xf>
    <xf numFmtId="3" fontId="7" fillId="6" borderId="25" xfId="1" applyNumberFormat="1" applyFont="1" applyFill="1" applyBorder="1" applyAlignment="1">
      <alignment horizontal="right" vertical="center"/>
    </xf>
    <xf numFmtId="0" fontId="7" fillId="6" borderId="31" xfId="1" applyNumberFormat="1" applyFont="1" applyFill="1" applyBorder="1" applyAlignment="1">
      <alignment horizontal="center" vertical="center"/>
    </xf>
    <xf numFmtId="0" fontId="7" fillId="0" borderId="31" xfId="4" applyNumberFormat="1" applyFont="1" applyBorder="1" applyAlignment="1">
      <alignment horizontal="center" vertical="center"/>
    </xf>
    <xf numFmtId="0" fontId="7" fillId="0" borderId="78" xfId="1" applyNumberFormat="1" applyFont="1" applyBorder="1" applyAlignment="1">
      <alignment horizontal="center" vertical="center"/>
    </xf>
    <xf numFmtId="0" fontId="7" fillId="0" borderId="31" xfId="1" applyNumberFormat="1" applyFont="1" applyBorder="1" applyAlignment="1">
      <alignment horizontal="center" vertical="center"/>
    </xf>
    <xf numFmtId="3" fontId="12" fillId="0" borderId="8" xfId="4" applyNumberFormat="1" applyFont="1" applyBorder="1" applyAlignment="1">
      <alignment horizontal="right" vertical="center"/>
    </xf>
    <xf numFmtId="3" fontId="7" fillId="6" borderId="30" xfId="1" applyNumberFormat="1" applyFont="1" applyFill="1" applyBorder="1" applyAlignment="1">
      <alignment horizontal="right" vertical="center" wrapText="1"/>
    </xf>
    <xf numFmtId="3" fontId="51" fillId="6" borderId="30" xfId="0" applyNumberFormat="1" applyFont="1" applyFill="1" applyBorder="1" applyAlignment="1">
      <alignment vertical="center"/>
    </xf>
    <xf numFmtId="3" fontId="7" fillId="6" borderId="79" xfId="1" applyNumberFormat="1" applyFont="1" applyFill="1" applyBorder="1" applyAlignment="1">
      <alignment horizontal="right" vertical="center"/>
    </xf>
    <xf numFmtId="3" fontId="38" fillId="6" borderId="30" xfId="1" applyNumberFormat="1" applyFont="1" applyFill="1" applyBorder="1" applyAlignment="1">
      <alignment horizontal="right" vertical="center"/>
    </xf>
    <xf numFmtId="3" fontId="7" fillId="6" borderId="8" xfId="1" applyNumberFormat="1" applyFont="1" applyFill="1" applyBorder="1" applyAlignment="1">
      <alignment horizontal="left" vertical="center" wrapText="1"/>
    </xf>
    <xf numFmtId="0" fontId="7" fillId="6" borderId="32" xfId="1" applyFont="1" applyFill="1" applyBorder="1" applyAlignment="1">
      <alignment horizontal="left" vertical="center" wrapText="1"/>
    </xf>
    <xf numFmtId="0" fontId="7" fillId="6" borderId="7" xfId="1" applyFont="1" applyFill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5" fillId="0" borderId="7" xfId="1" applyFont="1" applyBorder="1" applyAlignment="1">
      <alignment vertical="center" wrapText="1"/>
    </xf>
    <xf numFmtId="0" fontId="12" fillId="6" borderId="76" xfId="1" applyFont="1" applyFill="1" applyBorder="1" applyAlignment="1">
      <alignment horizontal="center" vertical="center"/>
    </xf>
    <xf numFmtId="0" fontId="31" fillId="6" borderId="32" xfId="1" applyFont="1" applyFill="1" applyBorder="1" applyAlignment="1">
      <alignment horizontal="left" vertical="center" wrapText="1"/>
    </xf>
    <xf numFmtId="0" fontId="7" fillId="0" borderId="8" xfId="4" applyFont="1" applyBorder="1" applyAlignment="1">
      <alignment horizontal="left" vertical="center" wrapText="1"/>
    </xf>
    <xf numFmtId="0" fontId="11" fillId="2" borderId="4" xfId="1" applyFont="1" applyFill="1" applyBorder="1" applyAlignment="1">
      <alignment horizontal="center" vertical="center" wrapText="1"/>
    </xf>
    <xf numFmtId="3" fontId="11" fillId="0" borderId="59" xfId="1" applyNumberFormat="1" applyFont="1" applyBorder="1" applyAlignment="1">
      <alignment horizontal="right" vertical="center"/>
    </xf>
    <xf numFmtId="0" fontId="32" fillId="0" borderId="0" xfId="15" applyFont="1" applyAlignment="1">
      <alignment horizontal="center" vertical="center"/>
    </xf>
    <xf numFmtId="0" fontId="32" fillId="0" borderId="0" xfId="15" applyFont="1" applyAlignment="1">
      <alignment vertical="center"/>
    </xf>
    <xf numFmtId="3" fontId="40" fillId="0" borderId="0" xfId="15" applyNumberFormat="1" applyFont="1" applyBorder="1" applyAlignment="1">
      <alignment horizontal="right" vertical="center"/>
    </xf>
    <xf numFmtId="0" fontId="32" fillId="0" borderId="0" xfId="15"/>
    <xf numFmtId="3" fontId="68" fillId="0" borderId="0" xfId="15" applyNumberFormat="1" applyFont="1" applyBorder="1" applyAlignment="1">
      <alignment horizontal="center" vertical="center" wrapText="1"/>
    </xf>
    <xf numFmtId="0" fontId="69" fillId="0" borderId="0" xfId="15" applyFont="1" applyBorder="1" applyAlignment="1">
      <alignment horizontal="center" vertical="center"/>
    </xf>
    <xf numFmtId="0" fontId="32" fillId="0" borderId="0" xfId="15" applyFont="1" applyBorder="1" applyAlignment="1">
      <alignment horizontal="center" vertical="center"/>
    </xf>
    <xf numFmtId="0" fontId="32" fillId="0" borderId="0" xfId="15" applyFont="1" applyBorder="1" applyAlignment="1">
      <alignment vertical="center"/>
    </xf>
    <xf numFmtId="0" fontId="11" fillId="2" borderId="4" xfId="15" applyFont="1" applyFill="1" applyBorder="1" applyAlignment="1">
      <alignment horizontal="center" vertical="center" wrapText="1"/>
    </xf>
    <xf numFmtId="0" fontId="11" fillId="2" borderId="12" xfId="15" applyFont="1" applyFill="1" applyBorder="1" applyAlignment="1">
      <alignment horizontal="center" vertical="center" wrapText="1"/>
    </xf>
    <xf numFmtId="0" fontId="33" fillId="2" borderId="4" xfId="15" applyFont="1" applyFill="1" applyBorder="1" applyAlignment="1">
      <alignment horizontal="center" vertical="center" wrapText="1"/>
    </xf>
    <xf numFmtId="0" fontId="11" fillId="2" borderId="9" xfId="15" applyFont="1" applyFill="1" applyBorder="1" applyAlignment="1">
      <alignment horizontal="center" vertical="center" wrapText="1"/>
    </xf>
    <xf numFmtId="3" fontId="33" fillId="2" borderId="4" xfId="15" applyNumberFormat="1" applyFont="1" applyFill="1" applyBorder="1" applyAlignment="1">
      <alignment horizontal="center" vertical="center"/>
    </xf>
    <xf numFmtId="0" fontId="12" fillId="4" borderId="4" xfId="15" quotePrefix="1" applyFont="1" applyFill="1" applyBorder="1" applyAlignment="1">
      <alignment horizontal="center" vertical="center" wrapText="1"/>
    </xf>
    <xf numFmtId="0" fontId="12" fillId="4" borderId="12" xfId="15" quotePrefix="1" applyFont="1" applyFill="1" applyBorder="1" applyAlignment="1">
      <alignment horizontal="center" vertical="center" wrapText="1"/>
    </xf>
    <xf numFmtId="0" fontId="35" fillId="4" borderId="9" xfId="15" applyFont="1" applyFill="1" applyBorder="1" applyAlignment="1">
      <alignment vertical="center" wrapText="1"/>
    </xf>
    <xf numFmtId="0" fontId="12" fillId="4" borderId="9" xfId="15" applyFont="1" applyFill="1" applyBorder="1" applyAlignment="1">
      <alignment vertical="center" wrapText="1"/>
    </xf>
    <xf numFmtId="3" fontId="70" fillId="4" borderId="19" xfId="15" applyNumberFormat="1" applyFont="1" applyFill="1" applyBorder="1" applyAlignment="1">
      <alignment horizontal="right" vertical="center"/>
    </xf>
    <xf numFmtId="49" fontId="9" fillId="14" borderId="13" xfId="15" applyNumberFormat="1" applyFont="1" applyFill="1" applyBorder="1" applyAlignment="1">
      <alignment horizontal="center" vertical="center" wrapText="1"/>
    </xf>
    <xf numFmtId="0" fontId="71" fillId="14" borderId="4" xfId="15" applyFont="1" applyFill="1" applyBorder="1" applyAlignment="1">
      <alignment vertical="center" wrapText="1"/>
    </xf>
    <xf numFmtId="0" fontId="9" fillId="14" borderId="9" xfId="15" applyFont="1" applyFill="1" applyBorder="1" applyAlignment="1">
      <alignment vertical="center" wrapText="1"/>
    </xf>
    <xf numFmtId="3" fontId="70" fillId="14" borderId="19" xfId="15" applyNumberFormat="1" applyFont="1" applyFill="1" applyBorder="1" applyAlignment="1">
      <alignment horizontal="right" vertical="center"/>
    </xf>
    <xf numFmtId="0" fontId="8" fillId="13" borderId="76" xfId="15" applyFont="1" applyFill="1" applyBorder="1" applyAlignment="1">
      <alignment vertical="center" wrapText="1"/>
    </xf>
    <xf numFmtId="3" fontId="72" fillId="13" borderId="19" xfId="15" applyNumberFormat="1" applyFont="1" applyFill="1" applyBorder="1" applyAlignment="1">
      <alignment horizontal="right" vertical="center"/>
    </xf>
    <xf numFmtId="49" fontId="7" fillId="0" borderId="63" xfId="15" applyNumberFormat="1" applyFont="1" applyFill="1" applyBorder="1" applyAlignment="1">
      <alignment horizontal="center" vertical="center" wrapText="1"/>
    </xf>
    <xf numFmtId="3" fontId="67" fillId="0" borderId="32" xfId="15" applyNumberFormat="1" applyFont="1" applyFill="1" applyBorder="1" applyAlignment="1">
      <alignment horizontal="right" vertical="center"/>
    </xf>
    <xf numFmtId="49" fontId="7" fillId="0" borderId="6" xfId="15" applyNumberFormat="1" applyFont="1" applyFill="1" applyBorder="1" applyAlignment="1">
      <alignment horizontal="center" vertical="center" wrapText="1"/>
    </xf>
    <xf numFmtId="0" fontId="8" fillId="13" borderId="49" xfId="15" applyFont="1" applyFill="1" applyBorder="1" applyAlignment="1">
      <alignment vertical="center" wrapText="1"/>
    </xf>
    <xf numFmtId="3" fontId="72" fillId="13" borderId="7" xfId="15" applyNumberFormat="1" applyFont="1" applyFill="1" applyBorder="1" applyAlignment="1">
      <alignment horizontal="right" vertical="center"/>
    </xf>
    <xf numFmtId="0" fontId="73" fillId="14" borderId="13" xfId="15" quotePrefix="1" applyFont="1" applyFill="1" applyBorder="1" applyAlignment="1">
      <alignment horizontal="center" vertical="center" wrapText="1"/>
    </xf>
    <xf numFmtId="0" fontId="74" fillId="14" borderId="9" xfId="15" applyFont="1" applyFill="1" applyBorder="1" applyAlignment="1">
      <alignment vertical="center" wrapText="1"/>
    </xf>
    <xf numFmtId="0" fontId="73" fillId="14" borderId="9" xfId="15" applyFont="1" applyFill="1" applyBorder="1" applyAlignment="1">
      <alignment vertical="center" wrapText="1"/>
    </xf>
    <xf numFmtId="0" fontId="8" fillId="13" borderId="76" xfId="15" quotePrefix="1" applyFont="1" applyFill="1" applyBorder="1" applyAlignment="1">
      <alignment horizontal="left" vertical="center" wrapText="1"/>
    </xf>
    <xf numFmtId="3" fontId="72" fillId="13" borderId="8" xfId="15" applyNumberFormat="1" applyFont="1" applyFill="1" applyBorder="1" applyAlignment="1">
      <alignment horizontal="right" vertical="center"/>
    </xf>
    <xf numFmtId="0" fontId="75" fillId="0" borderId="57" xfId="15" applyFont="1" applyBorder="1" applyAlignment="1">
      <alignment vertical="center" wrapText="1"/>
    </xf>
    <xf numFmtId="0" fontId="69" fillId="0" borderId="64" xfId="15" applyFont="1" applyBorder="1" applyAlignment="1">
      <alignment horizontal="center" vertical="center" wrapText="1"/>
    </xf>
    <xf numFmtId="3" fontId="67" fillId="6" borderId="32" xfId="15" applyNumberFormat="1" applyFont="1" applyFill="1" applyBorder="1" applyAlignment="1">
      <alignment horizontal="right" vertical="center"/>
    </xf>
    <xf numFmtId="0" fontId="75" fillId="0" borderId="23" xfId="15" applyFont="1" applyBorder="1" applyAlignment="1">
      <alignment vertical="center" wrapText="1"/>
    </xf>
    <xf numFmtId="0" fontId="69" fillId="0" borderId="72" xfId="15" applyFont="1" applyBorder="1" applyAlignment="1">
      <alignment horizontal="center" vertical="center" wrapText="1"/>
    </xf>
    <xf numFmtId="0" fontId="8" fillId="13" borderId="64" xfId="15" quotePrefix="1" applyFont="1" applyFill="1" applyBorder="1" applyAlignment="1">
      <alignment horizontal="left" vertical="center" wrapText="1"/>
    </xf>
    <xf numFmtId="3" fontId="72" fillId="13" borderId="32" xfId="15" applyNumberFormat="1" applyFont="1" applyFill="1" applyBorder="1" applyAlignment="1">
      <alignment horizontal="right" vertical="center"/>
    </xf>
    <xf numFmtId="0" fontId="75" fillId="6" borderId="57" xfId="15" applyFont="1" applyFill="1" applyBorder="1" applyAlignment="1">
      <alignment vertical="center" wrapText="1"/>
    </xf>
    <xf numFmtId="0" fontId="75" fillId="6" borderId="66" xfId="15" applyFont="1" applyFill="1" applyBorder="1" applyAlignment="1">
      <alignment vertical="center" wrapText="1"/>
    </xf>
    <xf numFmtId="3" fontId="67" fillId="0" borderId="17" xfId="15" applyNumberFormat="1" applyFont="1" applyFill="1" applyBorder="1" applyAlignment="1">
      <alignment horizontal="right" vertical="center"/>
    </xf>
    <xf numFmtId="0" fontId="74" fillId="14" borderId="4" xfId="15" applyFont="1" applyFill="1" applyBorder="1" applyAlignment="1">
      <alignment vertical="center" wrapText="1"/>
    </xf>
    <xf numFmtId="0" fontId="8" fillId="13" borderId="6" xfId="15" quotePrefix="1" applyFont="1" applyFill="1" applyBorder="1" applyAlignment="1">
      <alignment horizontal="left" vertical="center" wrapText="1"/>
    </xf>
    <xf numFmtId="0" fontId="31" fillId="6" borderId="66" xfId="15" quotePrefix="1" applyFont="1" applyFill="1" applyBorder="1" applyAlignment="1">
      <alignment horizontal="left" vertical="center" wrapText="1"/>
    </xf>
    <xf numFmtId="0" fontId="31" fillId="6" borderId="26" xfId="15" quotePrefix="1" applyFont="1" applyFill="1" applyBorder="1" applyAlignment="1">
      <alignment horizontal="center" vertical="center" wrapText="1"/>
    </xf>
    <xf numFmtId="0" fontId="31" fillId="6" borderId="57" xfId="15" quotePrefix="1" applyFont="1" applyFill="1" applyBorder="1" applyAlignment="1">
      <alignment horizontal="left" vertical="center" wrapText="1"/>
    </xf>
    <xf numFmtId="0" fontId="31" fillId="6" borderId="3" xfId="15" quotePrefix="1" applyFont="1" applyFill="1" applyBorder="1" applyAlignment="1">
      <alignment horizontal="center" vertical="center" wrapText="1"/>
    </xf>
    <xf numFmtId="49" fontId="9" fillId="14" borderId="27" xfId="15" applyNumberFormat="1" applyFont="1" applyFill="1" applyBorder="1" applyAlignment="1">
      <alignment horizontal="center" vertical="center" wrapText="1"/>
    </xf>
    <xf numFmtId="0" fontId="74" fillId="14" borderId="69" xfId="15" applyFont="1" applyFill="1" applyBorder="1" applyAlignment="1">
      <alignment vertical="center" wrapText="1"/>
    </xf>
    <xf numFmtId="0" fontId="73" fillId="14" borderId="69" xfId="15" applyFont="1" applyFill="1" applyBorder="1" applyAlignment="1">
      <alignment vertical="center" wrapText="1"/>
    </xf>
    <xf numFmtId="3" fontId="70" fillId="14" borderId="17" xfId="15" applyNumberFormat="1" applyFont="1" applyFill="1" applyBorder="1" applyAlignment="1">
      <alignment horizontal="right" vertical="center"/>
    </xf>
    <xf numFmtId="49" fontId="8" fillId="13" borderId="63" xfId="15" applyNumberFormat="1" applyFont="1" applyFill="1" applyBorder="1" applyAlignment="1">
      <alignment horizontal="left" vertical="center" wrapText="1"/>
    </xf>
    <xf numFmtId="49" fontId="9" fillId="0" borderId="34" xfId="15" applyNumberFormat="1" applyFont="1" applyBorder="1" applyAlignment="1">
      <alignment horizontal="center" vertical="center" wrapText="1"/>
    </xf>
    <xf numFmtId="0" fontId="75" fillId="0" borderId="26" xfId="15" applyFont="1" applyBorder="1" applyAlignment="1">
      <alignment vertical="center" wrapText="1"/>
    </xf>
    <xf numFmtId="49" fontId="69" fillId="0" borderId="63" xfId="15" applyNumberFormat="1" applyFont="1" applyBorder="1" applyAlignment="1">
      <alignment horizontal="center" vertical="center" wrapText="1"/>
    </xf>
    <xf numFmtId="49" fontId="8" fillId="13" borderId="49" xfId="15" applyNumberFormat="1" applyFont="1" applyFill="1" applyBorder="1" applyAlignment="1">
      <alignment horizontal="left" vertical="center" wrapText="1"/>
    </xf>
    <xf numFmtId="0" fontId="12" fillId="0" borderId="17" xfId="15" quotePrefix="1" applyFont="1" applyFill="1" applyBorder="1" applyAlignment="1">
      <alignment horizontal="center" vertical="center" wrapText="1"/>
    </xf>
    <xf numFmtId="49" fontId="9" fillId="14" borderId="4" xfId="15" applyNumberFormat="1" applyFont="1" applyFill="1" applyBorder="1" applyAlignment="1">
      <alignment horizontal="center" vertical="center" wrapText="1"/>
    </xf>
    <xf numFmtId="3" fontId="70" fillId="14" borderId="4" xfId="15" applyNumberFormat="1" applyFont="1" applyFill="1" applyBorder="1" applyAlignment="1">
      <alignment horizontal="right" vertical="center"/>
    </xf>
    <xf numFmtId="0" fontId="75" fillId="0" borderId="17" xfId="15" applyFont="1" applyBorder="1" applyAlignment="1">
      <alignment vertical="center" wrapText="1"/>
    </xf>
    <xf numFmtId="0" fontId="69" fillId="0" borderId="17" xfId="15" applyFont="1" applyBorder="1" applyAlignment="1">
      <alignment horizontal="center" vertical="center" wrapText="1"/>
    </xf>
    <xf numFmtId="3" fontId="67" fillId="0" borderId="34" xfId="15" applyNumberFormat="1" applyFont="1" applyFill="1" applyBorder="1" applyAlignment="1">
      <alignment horizontal="right" vertical="center"/>
    </xf>
    <xf numFmtId="0" fontId="12" fillId="0" borderId="14" xfId="15" quotePrefix="1" applyFont="1" applyFill="1" applyBorder="1" applyAlignment="1">
      <alignment horizontal="center" vertical="center" wrapText="1"/>
    </xf>
    <xf numFmtId="0" fontId="8" fillId="13" borderId="49" xfId="15" quotePrefix="1" applyFont="1" applyFill="1" applyBorder="1" applyAlignment="1">
      <alignment horizontal="left" vertical="center" wrapText="1"/>
    </xf>
    <xf numFmtId="49" fontId="12" fillId="4" borderId="4" xfId="15" applyNumberFormat="1" applyFont="1" applyFill="1" applyBorder="1" applyAlignment="1">
      <alignment horizontal="center" vertical="center" wrapText="1"/>
    </xf>
    <xf numFmtId="49" fontId="12" fillId="4" borderId="20" xfId="15" applyNumberFormat="1" applyFont="1" applyFill="1" applyBorder="1" applyAlignment="1">
      <alignment horizontal="center" vertical="center" wrapText="1"/>
    </xf>
    <xf numFmtId="49" fontId="35" fillId="4" borderId="27" xfId="15" applyNumberFormat="1" applyFont="1" applyFill="1" applyBorder="1" applyAlignment="1">
      <alignment horizontal="left" vertical="center" wrapText="1"/>
    </xf>
    <xf numFmtId="49" fontId="12" fillId="4" borderId="69" xfId="15" applyNumberFormat="1" applyFont="1" applyFill="1" applyBorder="1" applyAlignment="1">
      <alignment horizontal="left" vertical="center" wrapText="1"/>
    </xf>
    <xf numFmtId="3" fontId="70" fillId="4" borderId="17" xfId="15" applyNumberFormat="1" applyFont="1" applyFill="1" applyBorder="1" applyAlignment="1">
      <alignment horizontal="right" vertical="center"/>
    </xf>
    <xf numFmtId="0" fontId="32" fillId="0" borderId="0" xfId="15" applyFont="1"/>
    <xf numFmtId="49" fontId="9" fillId="14" borderId="12" xfId="15" applyNumberFormat="1" applyFont="1" applyFill="1" applyBorder="1" applyAlignment="1">
      <alignment horizontal="center" vertical="center" wrapText="1"/>
    </xf>
    <xf numFmtId="0" fontId="69" fillId="0" borderId="32" xfId="15" applyFont="1" applyBorder="1" applyAlignment="1">
      <alignment horizontal="center" vertical="center" wrapText="1"/>
    </xf>
    <xf numFmtId="0" fontId="75" fillId="0" borderId="67" xfId="15" applyFont="1" applyBorder="1" applyAlignment="1">
      <alignment vertical="center" wrapText="1"/>
    </xf>
    <xf numFmtId="3" fontId="72" fillId="13" borderId="34" xfId="15" applyNumberFormat="1" applyFont="1" applyFill="1" applyBorder="1" applyAlignment="1">
      <alignment horizontal="right" vertical="center"/>
    </xf>
    <xf numFmtId="49" fontId="12" fillId="4" borderId="12" xfId="15" applyNumberFormat="1" applyFont="1" applyFill="1" applyBorder="1" applyAlignment="1">
      <alignment horizontal="center" vertical="center" wrapText="1"/>
    </xf>
    <xf numFmtId="49" fontId="35" fillId="4" borderId="9" xfId="15" applyNumberFormat="1" applyFont="1" applyFill="1" applyBorder="1" applyAlignment="1">
      <alignment horizontal="left" vertical="center" wrapText="1"/>
    </xf>
    <xf numFmtId="49" fontId="12" fillId="4" borderId="9" xfId="15" applyNumberFormat="1" applyFont="1" applyFill="1" applyBorder="1" applyAlignment="1">
      <alignment horizontal="left" vertical="center" wrapText="1"/>
    </xf>
    <xf numFmtId="3" fontId="70" fillId="4" borderId="4" xfId="15" applyNumberFormat="1" applyFont="1" applyFill="1" applyBorder="1" applyAlignment="1">
      <alignment horizontal="right" vertical="center"/>
    </xf>
    <xf numFmtId="49" fontId="9" fillId="14" borderId="10" xfId="15" applyNumberFormat="1" applyFont="1" applyFill="1" applyBorder="1" applyAlignment="1">
      <alignment horizontal="center" vertical="center" wrapText="1"/>
    </xf>
    <xf numFmtId="0" fontId="71" fillId="14" borderId="19" xfId="15" applyFont="1" applyFill="1" applyBorder="1" applyAlignment="1">
      <alignment vertical="center" wrapText="1"/>
    </xf>
    <xf numFmtId="0" fontId="9" fillId="14" borderId="11" xfId="15" applyFont="1" applyFill="1" applyBorder="1" applyAlignment="1">
      <alignment vertical="center" wrapText="1"/>
    </xf>
    <xf numFmtId="0" fontId="8" fillId="0" borderId="0" xfId="15" applyFont="1" applyFill="1" applyBorder="1" applyAlignment="1">
      <alignment horizontal="center" vertical="center" wrapText="1"/>
    </xf>
    <xf numFmtId="0" fontId="69" fillId="0" borderId="6" xfId="15" applyFont="1" applyBorder="1" applyAlignment="1">
      <alignment horizontal="center" vertical="center" wrapText="1"/>
    </xf>
    <xf numFmtId="3" fontId="72" fillId="13" borderId="17" xfId="15" applyNumberFormat="1" applyFont="1" applyFill="1" applyBorder="1" applyAlignment="1">
      <alignment horizontal="right" vertical="center"/>
    </xf>
    <xf numFmtId="0" fontId="12" fillId="4" borderId="4" xfId="15" applyFont="1" applyFill="1" applyBorder="1" applyAlignment="1">
      <alignment horizontal="center" vertical="center" wrapText="1"/>
    </xf>
    <xf numFmtId="0" fontId="12" fillId="4" borderId="12" xfId="15" applyFont="1" applyFill="1" applyBorder="1" applyAlignment="1">
      <alignment horizontal="center" vertical="center" wrapText="1"/>
    </xf>
    <xf numFmtId="0" fontId="35" fillId="4" borderId="4" xfId="15" applyFont="1" applyFill="1" applyBorder="1" applyAlignment="1">
      <alignment vertical="center" wrapText="1"/>
    </xf>
    <xf numFmtId="0" fontId="73" fillId="14" borderId="12" xfId="15" applyFont="1" applyFill="1" applyBorder="1" applyAlignment="1">
      <alignment horizontal="center" vertical="center" wrapText="1"/>
    </xf>
    <xf numFmtId="0" fontId="8" fillId="13" borderId="8" xfId="15" quotePrefix="1" applyFont="1" applyFill="1" applyBorder="1" applyAlignment="1">
      <alignment horizontal="left" vertical="center" wrapText="1"/>
    </xf>
    <xf numFmtId="0" fontId="31" fillId="0" borderId="3" xfId="15" applyFont="1" applyBorder="1" applyAlignment="1">
      <alignment vertical="center"/>
    </xf>
    <xf numFmtId="49" fontId="31" fillId="0" borderId="18" xfId="15" applyNumberFormat="1" applyFont="1" applyBorder="1" applyAlignment="1">
      <alignment horizontal="center" vertical="center"/>
    </xf>
    <xf numFmtId="3" fontId="67" fillId="0" borderId="18" xfId="15" applyNumberFormat="1" applyFont="1" applyFill="1" applyBorder="1" applyAlignment="1">
      <alignment horizontal="right" vertical="center"/>
    </xf>
    <xf numFmtId="0" fontId="31" fillId="0" borderId="32" xfId="15" applyFont="1" applyBorder="1" applyAlignment="1">
      <alignment horizontal="left" vertical="center" wrapText="1"/>
    </xf>
    <xf numFmtId="49" fontId="69" fillId="0" borderId="18" xfId="15" applyNumberFormat="1" applyFont="1" applyBorder="1" applyAlignment="1">
      <alignment horizontal="center" vertical="center" wrapText="1"/>
    </xf>
    <xf numFmtId="0" fontId="31" fillId="0" borderId="5" xfId="15" applyFont="1" applyBorder="1" applyAlignment="1">
      <alignment vertical="center" wrapText="1"/>
    </xf>
    <xf numFmtId="49" fontId="7" fillId="0" borderId="34" xfId="15" applyNumberFormat="1" applyFont="1" applyFill="1" applyBorder="1" applyAlignment="1">
      <alignment horizontal="center" vertical="center" wrapText="1"/>
    </xf>
    <xf numFmtId="0" fontId="8" fillId="13" borderId="32" xfId="15" applyFont="1" applyFill="1" applyBorder="1" applyAlignment="1">
      <alignment horizontal="left" vertical="center" wrapText="1"/>
    </xf>
    <xf numFmtId="0" fontId="8" fillId="6" borderId="20" xfId="15" applyFont="1" applyFill="1" applyBorder="1" applyAlignment="1">
      <alignment horizontal="left" vertical="center" wrapText="1"/>
    </xf>
    <xf numFmtId="0" fontId="7" fillId="6" borderId="27" xfId="15" applyFont="1" applyFill="1" applyBorder="1" applyAlignment="1">
      <alignment horizontal="left" vertical="center" wrapText="1"/>
    </xf>
    <xf numFmtId="0" fontId="7" fillId="6" borderId="69" xfId="15" applyFont="1" applyFill="1" applyBorder="1" applyAlignment="1">
      <alignment horizontal="center" vertical="center" wrapText="1"/>
    </xf>
    <xf numFmtId="3" fontId="67" fillId="6" borderId="7" xfId="15" applyNumberFormat="1" applyFont="1" applyFill="1" applyBorder="1" applyAlignment="1">
      <alignment horizontal="right" vertical="center"/>
    </xf>
    <xf numFmtId="0" fontId="9" fillId="14" borderId="12" xfId="15" applyFont="1" applyFill="1" applyBorder="1" applyAlignment="1">
      <alignment horizontal="center" vertical="center" wrapText="1"/>
    </xf>
    <xf numFmtId="0" fontId="71" fillId="14" borderId="9" xfId="15" applyFont="1" applyFill="1" applyBorder="1" applyAlignment="1">
      <alignment vertical="center" wrapText="1"/>
    </xf>
    <xf numFmtId="0" fontId="8" fillId="6" borderId="18" xfId="15" applyFont="1" applyFill="1" applyBorder="1" applyAlignment="1">
      <alignment horizontal="center" vertical="center" wrapText="1"/>
    </xf>
    <xf numFmtId="49" fontId="69" fillId="0" borderId="64" xfId="15" applyNumberFormat="1" applyFont="1" applyBorder="1" applyAlignment="1">
      <alignment horizontal="center" vertical="center" wrapText="1"/>
    </xf>
    <xf numFmtId="0" fontId="8" fillId="6" borderId="34" xfId="15" applyFont="1" applyFill="1" applyBorder="1" applyAlignment="1">
      <alignment horizontal="center" vertical="center" wrapText="1"/>
    </xf>
    <xf numFmtId="0" fontId="75" fillId="0" borderId="34" xfId="15" applyFont="1" applyBorder="1" applyAlignment="1">
      <alignment horizontal="left" vertical="center" wrapText="1"/>
    </xf>
    <xf numFmtId="49" fontId="7" fillId="6" borderId="64" xfId="15" quotePrefix="1" applyNumberFormat="1" applyFont="1" applyFill="1" applyBorder="1" applyAlignment="1">
      <alignment horizontal="center" vertical="center" wrapText="1"/>
    </xf>
    <xf numFmtId="0" fontId="73" fillId="14" borderId="4" xfId="15" applyFont="1" applyFill="1" applyBorder="1" applyAlignment="1">
      <alignment horizontal="center" vertical="center" wrapText="1"/>
    </xf>
    <xf numFmtId="49" fontId="7" fillId="6" borderId="32" xfId="15" quotePrefix="1" applyNumberFormat="1" applyFont="1" applyFill="1" applyBorder="1" applyAlignment="1">
      <alignment horizontal="center" vertical="center" wrapText="1"/>
    </xf>
    <xf numFmtId="0" fontId="75" fillId="6" borderId="3" xfId="15" applyFont="1" applyFill="1" applyBorder="1" applyAlignment="1">
      <alignment horizontal="left" vertical="center" wrapText="1"/>
    </xf>
    <xf numFmtId="0" fontId="8" fillId="13" borderId="63" xfId="15" quotePrefix="1" applyFont="1" applyFill="1" applyBorder="1" applyAlignment="1">
      <alignment horizontal="left" vertical="center" wrapText="1"/>
    </xf>
    <xf numFmtId="0" fontId="69" fillId="0" borderId="67" xfId="15" applyFont="1" applyBorder="1" applyAlignment="1">
      <alignment vertical="center" wrapText="1"/>
    </xf>
    <xf numFmtId="0" fontId="69" fillId="0" borderId="26" xfId="15" applyFont="1" applyBorder="1" applyAlignment="1">
      <alignment vertical="center" wrapText="1"/>
    </xf>
    <xf numFmtId="0" fontId="9" fillId="14" borderId="13" xfId="15" applyFont="1" applyFill="1" applyBorder="1" applyAlignment="1">
      <alignment horizontal="center" vertical="center" wrapText="1"/>
    </xf>
    <xf numFmtId="0" fontId="71" fillId="14" borderId="4" xfId="15" applyFont="1" applyFill="1" applyBorder="1" applyAlignment="1">
      <alignment horizontal="left" vertical="center" wrapText="1"/>
    </xf>
    <xf numFmtId="0" fontId="7" fillId="14" borderId="9" xfId="15" quotePrefix="1" applyFont="1" applyFill="1" applyBorder="1" applyAlignment="1">
      <alignment horizontal="center" vertical="center" wrapText="1"/>
    </xf>
    <xf numFmtId="0" fontId="7" fillId="13" borderId="11" xfId="15" quotePrefix="1" applyFont="1" applyFill="1" applyBorder="1" applyAlignment="1">
      <alignment horizontal="center" vertical="center" wrapText="1"/>
    </xf>
    <xf numFmtId="3" fontId="67" fillId="13" borderId="19" xfId="15" applyNumberFormat="1" applyFont="1" applyFill="1" applyBorder="1" applyAlignment="1">
      <alignment horizontal="right" vertical="center"/>
    </xf>
    <xf numFmtId="0" fontId="31" fillId="6" borderId="32" xfId="15" applyFont="1" applyFill="1" applyBorder="1" applyAlignment="1">
      <alignment horizontal="left" vertical="center" wrapText="1"/>
    </xf>
    <xf numFmtId="49" fontId="7" fillId="6" borderId="64" xfId="15" applyNumberFormat="1" applyFont="1" applyFill="1" applyBorder="1" applyAlignment="1">
      <alignment horizontal="center" vertical="center" wrapText="1"/>
    </xf>
    <xf numFmtId="0" fontId="31" fillId="6" borderId="17" xfId="15" applyFont="1" applyFill="1" applyBorder="1" applyAlignment="1">
      <alignment horizontal="left" vertical="center" wrapText="1"/>
    </xf>
    <xf numFmtId="0" fontId="7" fillId="6" borderId="6" xfId="15" quotePrefix="1" applyFont="1" applyFill="1" applyBorder="1" applyAlignment="1">
      <alignment horizontal="center" vertical="center" wrapText="1"/>
    </xf>
    <xf numFmtId="0" fontId="31" fillId="6" borderId="34" xfId="15" applyFont="1" applyFill="1" applyBorder="1" applyAlignment="1">
      <alignment horizontal="left" vertical="center" wrapText="1"/>
    </xf>
    <xf numFmtId="0" fontId="7" fillId="6" borderId="72" xfId="15" quotePrefix="1" applyFont="1" applyFill="1" applyBorder="1" applyAlignment="1">
      <alignment horizontal="center" vertical="center" wrapText="1"/>
    </xf>
    <xf numFmtId="0" fontId="7" fillId="13" borderId="49" xfId="15" quotePrefix="1" applyFont="1" applyFill="1" applyBorder="1" applyAlignment="1">
      <alignment horizontal="center" vertical="center" wrapText="1"/>
    </xf>
    <xf numFmtId="0" fontId="76" fillId="4" borderId="4" xfId="15" applyFont="1" applyFill="1" applyBorder="1" applyAlignment="1">
      <alignment horizontal="center" vertical="center" wrapText="1"/>
    </xf>
    <xf numFmtId="0" fontId="76" fillId="4" borderId="12" xfId="15" applyFont="1" applyFill="1" applyBorder="1" applyAlignment="1">
      <alignment horizontal="center" vertical="center" wrapText="1"/>
    </xf>
    <xf numFmtId="0" fontId="77" fillId="4" borderId="4" xfId="15" applyFont="1" applyFill="1" applyBorder="1" applyAlignment="1">
      <alignment vertical="center" wrapText="1"/>
    </xf>
    <xf numFmtId="0" fontId="76" fillId="4" borderId="69" xfId="15" applyFont="1" applyFill="1" applyBorder="1" applyAlignment="1">
      <alignment vertical="center" wrapText="1"/>
    </xf>
    <xf numFmtId="0" fontId="7" fillId="13" borderId="76" xfId="15" quotePrefix="1" applyFont="1" applyFill="1" applyBorder="1" applyAlignment="1">
      <alignment horizontal="center" vertical="center" wrapText="1"/>
    </xf>
    <xf numFmtId="0" fontId="8" fillId="6" borderId="18" xfId="15" applyFont="1" applyFill="1" applyBorder="1" applyAlignment="1">
      <alignment horizontal="left" vertical="center" wrapText="1"/>
    </xf>
    <xf numFmtId="0" fontId="8" fillId="13" borderId="32" xfId="15" quotePrefix="1" applyFont="1" applyFill="1" applyBorder="1" applyAlignment="1">
      <alignment horizontal="left" vertical="center" wrapText="1"/>
    </xf>
    <xf numFmtId="3" fontId="72" fillId="13" borderId="18" xfId="15" applyNumberFormat="1" applyFont="1" applyFill="1" applyBorder="1" applyAlignment="1">
      <alignment horizontal="right" vertical="center"/>
    </xf>
    <xf numFmtId="0" fontId="75" fillId="0" borderId="66" xfId="15" applyFont="1" applyBorder="1" applyAlignment="1">
      <alignment vertical="center" wrapText="1"/>
    </xf>
    <xf numFmtId="49" fontId="7" fillId="6" borderId="6" xfId="15" quotePrefix="1" applyNumberFormat="1" applyFont="1" applyFill="1" applyBorder="1" applyAlignment="1">
      <alignment horizontal="center" vertical="center" wrapText="1"/>
    </xf>
    <xf numFmtId="0" fontId="32" fillId="6" borderId="0" xfId="15" applyFill="1"/>
    <xf numFmtId="0" fontId="75" fillId="0" borderId="0" xfId="15" applyFont="1" applyBorder="1" applyAlignment="1">
      <alignment vertical="center" wrapText="1"/>
    </xf>
    <xf numFmtId="49" fontId="69" fillId="0" borderId="34" xfId="15" applyNumberFormat="1" applyFont="1" applyBorder="1" applyAlignment="1">
      <alignment horizontal="center" vertical="center" wrapText="1"/>
    </xf>
    <xf numFmtId="0" fontId="73" fillId="4" borderId="4" xfId="15" applyFont="1" applyFill="1" applyBorder="1" applyAlignment="1">
      <alignment horizontal="center" vertical="center" wrapText="1"/>
    </xf>
    <xf numFmtId="0" fontId="76" fillId="4" borderId="9" xfId="15" applyFont="1" applyFill="1" applyBorder="1" applyAlignment="1">
      <alignment vertical="center" wrapText="1"/>
    </xf>
    <xf numFmtId="49" fontId="69" fillId="0" borderId="6" xfId="15" applyNumberFormat="1" applyFont="1" applyBorder="1" applyAlignment="1">
      <alignment horizontal="center" vertical="center" wrapText="1"/>
    </xf>
    <xf numFmtId="3" fontId="72" fillId="13" borderId="14" xfId="15" applyNumberFormat="1" applyFont="1" applyFill="1" applyBorder="1" applyAlignment="1">
      <alignment horizontal="right" vertical="center"/>
    </xf>
    <xf numFmtId="0" fontId="8" fillId="0" borderId="66" xfId="15" applyFont="1" applyFill="1" applyBorder="1" applyAlignment="1">
      <alignment horizontal="center" vertical="center" wrapText="1"/>
    </xf>
    <xf numFmtId="0" fontId="7" fillId="0" borderId="63" xfId="15" quotePrefix="1" applyFont="1" applyFill="1" applyBorder="1" applyAlignment="1">
      <alignment horizontal="center" vertical="center" wrapText="1"/>
    </xf>
    <xf numFmtId="0" fontId="73" fillId="14" borderId="9" xfId="15" applyFont="1" applyFill="1" applyBorder="1" applyAlignment="1">
      <alignment horizontal="center" vertical="center" wrapText="1"/>
    </xf>
    <xf numFmtId="49" fontId="78" fillId="13" borderId="6" xfId="15" applyNumberFormat="1" applyFont="1" applyFill="1" applyBorder="1" applyAlignment="1">
      <alignment vertical="center" wrapText="1"/>
    </xf>
    <xf numFmtId="0" fontId="73" fillId="0" borderId="5" xfId="15" applyFont="1" applyBorder="1" applyAlignment="1">
      <alignment horizontal="center" vertical="center" wrapText="1"/>
    </xf>
    <xf numFmtId="0" fontId="8" fillId="13" borderId="64" xfId="15" quotePrefix="1" applyFont="1" applyFill="1" applyBorder="1" applyAlignment="1">
      <alignment horizontal="center" vertical="center" wrapText="1"/>
    </xf>
    <xf numFmtId="0" fontId="12" fillId="4" borderId="4" xfId="15" applyFont="1" applyFill="1" applyBorder="1" applyAlignment="1">
      <alignment vertical="center" wrapText="1"/>
    </xf>
    <xf numFmtId="0" fontId="35" fillId="4" borderId="12" xfId="15" applyFont="1" applyFill="1" applyBorder="1" applyAlignment="1">
      <alignment vertical="center" wrapText="1"/>
    </xf>
    <xf numFmtId="0" fontId="12" fillId="4" borderId="9" xfId="15" applyFont="1" applyFill="1" applyBorder="1" applyAlignment="1">
      <alignment horizontal="left" vertical="center" wrapText="1"/>
    </xf>
    <xf numFmtId="0" fontId="34" fillId="0" borderId="0" xfId="15" applyFont="1"/>
    <xf numFmtId="0" fontId="73" fillId="14" borderId="20" xfId="15" applyFont="1" applyFill="1" applyBorder="1" applyAlignment="1">
      <alignment horizontal="center" vertical="center" wrapText="1"/>
    </xf>
    <xf numFmtId="0" fontId="31" fillId="0" borderId="3" xfId="15" applyFont="1" applyBorder="1" applyAlignment="1">
      <alignment horizontal="left" vertical="center" wrapText="1"/>
    </xf>
    <xf numFmtId="49" fontId="7" fillId="0" borderId="17" xfId="15" applyNumberFormat="1" applyFont="1" applyBorder="1" applyAlignment="1">
      <alignment horizontal="center" vertical="center" wrapText="1"/>
    </xf>
    <xf numFmtId="49" fontId="8" fillId="13" borderId="64" xfId="15" quotePrefix="1" applyNumberFormat="1" applyFont="1" applyFill="1" applyBorder="1" applyAlignment="1">
      <alignment horizontal="center" vertical="center" wrapText="1"/>
    </xf>
    <xf numFmtId="0" fontId="73" fillId="4" borderId="12" xfId="15" applyFont="1" applyFill="1" applyBorder="1" applyAlignment="1">
      <alignment horizontal="center" vertical="center" wrapText="1"/>
    </xf>
    <xf numFmtId="0" fontId="77" fillId="4" borderId="13" xfId="15" applyFont="1" applyFill="1" applyBorder="1" applyAlignment="1">
      <alignment vertical="center" wrapText="1"/>
    </xf>
    <xf numFmtId="3" fontId="70" fillId="3" borderId="19" xfId="15" applyNumberFormat="1" applyFont="1" applyFill="1" applyBorder="1" applyAlignment="1">
      <alignment horizontal="right" vertical="center"/>
    </xf>
    <xf numFmtId="0" fontId="74" fillId="14" borderId="13" xfId="15" applyFont="1" applyFill="1" applyBorder="1" applyAlignment="1">
      <alignment vertical="center" wrapText="1"/>
    </xf>
    <xf numFmtId="0" fontId="73" fillId="0" borderId="34" xfId="15" applyFont="1" applyBorder="1" applyAlignment="1">
      <alignment horizontal="center" vertical="center" wrapText="1"/>
    </xf>
    <xf numFmtId="0" fontId="75" fillId="0" borderId="3" xfId="15" applyFont="1" applyBorder="1" applyAlignment="1">
      <alignment vertical="center" wrapText="1"/>
    </xf>
    <xf numFmtId="0" fontId="69" fillId="0" borderId="63" xfId="15" applyFont="1" applyBorder="1" applyAlignment="1">
      <alignment horizontal="center" vertical="center" wrapText="1"/>
    </xf>
    <xf numFmtId="3" fontId="67" fillId="6" borderId="34" xfId="15" applyNumberFormat="1" applyFont="1" applyFill="1" applyBorder="1" applyAlignment="1">
      <alignment horizontal="right" vertical="center"/>
    </xf>
    <xf numFmtId="0" fontId="9" fillId="14" borderId="4" xfId="15" applyFont="1" applyFill="1" applyBorder="1" applyAlignment="1">
      <alignment horizontal="center" vertical="center" wrapText="1"/>
    </xf>
    <xf numFmtId="0" fontId="71" fillId="14" borderId="27" xfId="15" quotePrefix="1" applyFont="1" applyFill="1" applyBorder="1" applyAlignment="1">
      <alignment horizontal="left" vertical="center" wrapText="1"/>
    </xf>
    <xf numFmtId="0" fontId="8" fillId="14" borderId="69" xfId="15" quotePrefix="1" applyFont="1" applyFill="1" applyBorder="1" applyAlignment="1">
      <alignment horizontal="left" vertical="center" wrapText="1"/>
    </xf>
    <xf numFmtId="0" fontId="69" fillId="6" borderId="17" xfId="15" applyFont="1" applyFill="1" applyBorder="1" applyAlignment="1">
      <alignment horizontal="center" vertical="center" wrapText="1"/>
    </xf>
    <xf numFmtId="0" fontId="7" fillId="6" borderId="66" xfId="15" quotePrefix="1" applyFont="1" applyFill="1" applyBorder="1" applyAlignment="1">
      <alignment horizontal="left" vertical="center" wrapText="1"/>
    </xf>
    <xf numFmtId="0" fontId="9" fillId="14" borderId="14" xfId="15" applyFont="1" applyFill="1" applyBorder="1" applyAlignment="1">
      <alignment horizontal="center" vertical="center" wrapText="1"/>
    </xf>
    <xf numFmtId="0" fontId="71" fillId="14" borderId="14" xfId="15" quotePrefix="1" applyFont="1" applyFill="1" applyBorder="1" applyAlignment="1">
      <alignment horizontal="left" vertical="center" wrapText="1"/>
    </xf>
    <xf numFmtId="0" fontId="8" fillId="14" borderId="27" xfId="15" quotePrefix="1" applyFont="1" applyFill="1" applyBorder="1" applyAlignment="1">
      <alignment horizontal="left" vertical="center" wrapText="1"/>
    </xf>
    <xf numFmtId="0" fontId="9" fillId="6" borderId="34" xfId="15" applyFont="1" applyFill="1" applyBorder="1" applyAlignment="1">
      <alignment horizontal="center" vertical="center" wrapText="1"/>
    </xf>
    <xf numFmtId="0" fontId="31" fillId="6" borderId="0" xfId="15" quotePrefix="1" applyFont="1" applyFill="1" applyBorder="1" applyAlignment="1">
      <alignment horizontal="left" vertical="center" wrapText="1"/>
    </xf>
    <xf numFmtId="0" fontId="7" fillId="6" borderId="34" xfId="15" quotePrefix="1" applyFont="1" applyFill="1" applyBorder="1" applyAlignment="1">
      <alignment horizontal="center" vertical="center" wrapText="1"/>
    </xf>
    <xf numFmtId="0" fontId="8" fillId="13" borderId="74" xfId="15" quotePrefix="1" applyFont="1" applyFill="1" applyBorder="1" applyAlignment="1">
      <alignment horizontal="left" vertical="center" wrapText="1"/>
    </xf>
    <xf numFmtId="0" fontId="31" fillId="0" borderId="72" xfId="15" applyFont="1" applyBorder="1" applyAlignment="1">
      <alignment wrapText="1"/>
    </xf>
    <xf numFmtId="0" fontId="31" fillId="0" borderId="32" xfId="15" applyFont="1" applyBorder="1" applyAlignment="1">
      <alignment wrapText="1"/>
    </xf>
    <xf numFmtId="0" fontId="31" fillId="6" borderId="5" xfId="15" quotePrefix="1" applyFont="1" applyFill="1" applyBorder="1" applyAlignment="1">
      <alignment horizontal="left" vertical="center" wrapText="1"/>
    </xf>
    <xf numFmtId="0" fontId="31" fillId="6" borderId="34" xfId="15" quotePrefix="1" applyFont="1" applyFill="1" applyBorder="1" applyAlignment="1">
      <alignment vertical="center" wrapText="1"/>
    </xf>
    <xf numFmtId="0" fontId="31" fillId="6" borderId="34" xfId="15" quotePrefix="1" applyFont="1" applyFill="1" applyBorder="1" applyAlignment="1">
      <alignment horizontal="left" vertical="center" wrapText="1"/>
    </xf>
    <xf numFmtId="0" fontId="31" fillId="6" borderId="32" xfId="15" quotePrefix="1" applyFont="1" applyFill="1" applyBorder="1" applyAlignment="1">
      <alignment vertical="center" wrapText="1"/>
    </xf>
    <xf numFmtId="0" fontId="7" fillId="6" borderId="32" xfId="15" quotePrefix="1" applyFont="1" applyFill="1" applyBorder="1" applyAlignment="1">
      <alignment horizontal="center" vertical="center" wrapText="1"/>
    </xf>
    <xf numFmtId="0" fontId="8" fillId="0" borderId="17" xfId="15" applyFont="1" applyBorder="1" applyAlignment="1">
      <alignment horizontal="center" vertical="center" wrapText="1"/>
    </xf>
    <xf numFmtId="0" fontId="31" fillId="6" borderId="17" xfId="15" quotePrefix="1" applyFont="1" applyFill="1" applyBorder="1" applyAlignment="1">
      <alignment vertical="center" wrapText="1"/>
    </xf>
    <xf numFmtId="0" fontId="7" fillId="0" borderId="17" xfId="15" quotePrefix="1" applyFont="1" applyBorder="1" applyAlignment="1">
      <alignment horizontal="center" vertical="center" wrapText="1"/>
    </xf>
    <xf numFmtId="0" fontId="8" fillId="13" borderId="76" xfId="15" applyFont="1" applyFill="1" applyBorder="1" applyAlignment="1">
      <alignment horizontal="left" vertical="center" wrapText="1"/>
    </xf>
    <xf numFmtId="0" fontId="7" fillId="6" borderId="3" xfId="15" applyFont="1" applyFill="1" applyBorder="1" applyAlignment="1">
      <alignment horizontal="left" vertical="center" wrapText="1"/>
    </xf>
    <xf numFmtId="49" fontId="7" fillId="6" borderId="63" xfId="15" applyNumberFormat="1" applyFont="1" applyFill="1" applyBorder="1" applyAlignment="1">
      <alignment horizontal="center" vertical="center" wrapText="1"/>
    </xf>
    <xf numFmtId="0" fontId="75" fillId="6" borderId="32" xfId="15" applyFont="1" applyFill="1" applyBorder="1" applyAlignment="1">
      <alignment vertical="center" wrapText="1"/>
    </xf>
    <xf numFmtId="49" fontId="69" fillId="0" borderId="32" xfId="15" applyNumberFormat="1" applyFont="1" applyBorder="1" applyAlignment="1">
      <alignment horizontal="center" vertical="center" wrapText="1"/>
    </xf>
    <xf numFmtId="0" fontId="8" fillId="13" borderId="63" xfId="15" applyFont="1" applyFill="1" applyBorder="1" applyAlignment="1">
      <alignment horizontal="left" vertical="center" wrapText="1"/>
    </xf>
    <xf numFmtId="0" fontId="76" fillId="4" borderId="4" xfId="1" applyFont="1" applyFill="1" applyBorder="1" applyAlignment="1">
      <alignment horizontal="center" vertical="center" wrapText="1"/>
    </xf>
    <xf numFmtId="0" fontId="76" fillId="4" borderId="12" xfId="1" applyFont="1" applyFill="1" applyBorder="1" applyAlignment="1">
      <alignment horizontal="center" vertical="center" wrapText="1"/>
    </xf>
    <xf numFmtId="0" fontId="77" fillId="4" borderId="4" xfId="1" applyFont="1" applyFill="1" applyBorder="1" applyAlignment="1">
      <alignment vertical="center" wrapText="1"/>
    </xf>
    <xf numFmtId="0" fontId="79" fillId="4" borderId="9" xfId="1" applyFont="1" applyFill="1" applyBorder="1" applyAlignment="1">
      <alignment vertical="center" wrapText="1"/>
    </xf>
    <xf numFmtId="0" fontId="73" fillId="14" borderId="12" xfId="1" applyFont="1" applyFill="1" applyBorder="1" applyAlignment="1">
      <alignment horizontal="center" vertical="center" wrapText="1"/>
    </xf>
    <xf numFmtId="0" fontId="74" fillId="14" borderId="4" xfId="1" applyFont="1" applyFill="1" applyBorder="1" applyAlignment="1">
      <alignment vertical="center" wrapText="1"/>
    </xf>
    <xf numFmtId="0" fontId="80" fillId="14" borderId="9" xfId="1" applyFont="1" applyFill="1" applyBorder="1" applyAlignment="1">
      <alignment vertical="center" wrapText="1"/>
    </xf>
    <xf numFmtId="0" fontId="8" fillId="13" borderId="63" xfId="1" applyFont="1" applyFill="1" applyBorder="1" applyAlignment="1">
      <alignment horizontal="left" vertical="center" wrapText="1"/>
    </xf>
    <xf numFmtId="0" fontId="73" fillId="6" borderId="57" xfId="1" applyFont="1" applyFill="1" applyBorder="1" applyAlignment="1">
      <alignment horizontal="center" vertical="center" wrapText="1"/>
    </xf>
    <xf numFmtId="0" fontId="75" fillId="6" borderId="26" xfId="1" applyFont="1" applyFill="1" applyBorder="1" applyAlignment="1">
      <alignment vertical="center" wrapText="1"/>
    </xf>
    <xf numFmtId="0" fontId="81" fillId="6" borderId="64" xfId="1" applyFont="1" applyFill="1" applyBorder="1" applyAlignment="1">
      <alignment horizontal="center" vertical="center" wrapText="1"/>
    </xf>
    <xf numFmtId="0" fontId="8" fillId="13" borderId="72" xfId="1" applyFont="1" applyFill="1" applyBorder="1" applyAlignment="1">
      <alignment horizontal="left" vertical="center" wrapText="1"/>
    </xf>
    <xf numFmtId="0" fontId="8" fillId="13" borderId="64" xfId="1" applyFont="1" applyFill="1" applyBorder="1" applyAlignment="1">
      <alignment horizontal="left" vertical="center" wrapText="1"/>
    </xf>
    <xf numFmtId="0" fontId="73" fillId="14" borderId="20" xfId="1" applyFont="1" applyFill="1" applyBorder="1" applyAlignment="1">
      <alignment horizontal="center" vertical="center" wrapText="1"/>
    </xf>
    <xf numFmtId="0" fontId="74" fillId="14" borderId="14" xfId="1" applyFont="1" applyFill="1" applyBorder="1" applyAlignment="1">
      <alignment vertical="center" wrapText="1"/>
    </xf>
    <xf numFmtId="0" fontId="80" fillId="14" borderId="69" xfId="1" applyFont="1" applyFill="1" applyBorder="1" applyAlignment="1">
      <alignment vertical="center" wrapText="1"/>
    </xf>
    <xf numFmtId="49" fontId="81" fillId="6" borderId="64" xfId="1" applyNumberFormat="1" applyFont="1" applyFill="1" applyBorder="1" applyAlignment="1">
      <alignment horizontal="center" vertical="center" wrapText="1"/>
    </xf>
    <xf numFmtId="0" fontId="8" fillId="13" borderId="6" xfId="1" applyFont="1" applyFill="1" applyBorder="1" applyAlignment="1">
      <alignment horizontal="left" vertical="center" wrapText="1"/>
    </xf>
    <xf numFmtId="0" fontId="75" fillId="6" borderId="64" xfId="1" applyFont="1" applyFill="1" applyBorder="1" applyAlignment="1">
      <alignment vertical="center" wrapText="1"/>
    </xf>
    <xf numFmtId="0" fontId="74" fillId="14" borderId="12" xfId="1" applyFont="1" applyFill="1" applyBorder="1" applyAlignment="1">
      <alignment horizontal="center" vertical="center" wrapText="1"/>
    </xf>
    <xf numFmtId="0" fontId="74" fillId="14" borderId="9" xfId="1" applyFont="1" applyFill="1" applyBorder="1" applyAlignment="1">
      <alignment vertical="center" wrapText="1"/>
    </xf>
    <xf numFmtId="0" fontId="82" fillId="13" borderId="6" xfId="1" applyFont="1" applyFill="1" applyBorder="1" applyAlignment="1">
      <alignment horizontal="left" vertical="center" wrapText="1"/>
    </xf>
    <xf numFmtId="0" fontId="31" fillId="6" borderId="64" xfId="1" applyFont="1" applyFill="1" applyBorder="1" applyAlignment="1">
      <alignment horizontal="center" vertical="center" wrapText="1"/>
    </xf>
    <xf numFmtId="0" fontId="31" fillId="6" borderId="32" xfId="1" applyFont="1" applyFill="1" applyBorder="1" applyAlignment="1">
      <alignment horizontal="center" vertical="center" wrapText="1"/>
    </xf>
    <xf numFmtId="0" fontId="82" fillId="13" borderId="32" xfId="1" applyFont="1" applyFill="1" applyBorder="1" applyAlignment="1">
      <alignment horizontal="center" vertical="center" wrapText="1"/>
    </xf>
    <xf numFmtId="0" fontId="31" fillId="6" borderId="26" xfId="1" applyFont="1" applyFill="1" applyBorder="1" applyAlignment="1">
      <alignment horizontal="left" vertical="center" wrapText="1"/>
    </xf>
    <xf numFmtId="0" fontId="7" fillId="6" borderId="72" xfId="1" applyFont="1" applyFill="1" applyBorder="1" applyAlignment="1">
      <alignment horizontal="left" vertical="center" wrapText="1"/>
    </xf>
    <xf numFmtId="0" fontId="31" fillId="6" borderId="7" xfId="1" applyFont="1" applyFill="1" applyBorder="1" applyAlignment="1">
      <alignment horizontal="center" vertical="center" wrapText="1"/>
    </xf>
    <xf numFmtId="3" fontId="67" fillId="0" borderId="7" xfId="15" applyNumberFormat="1" applyFont="1" applyFill="1" applyBorder="1" applyAlignment="1">
      <alignment horizontal="right" vertical="center"/>
    </xf>
    <xf numFmtId="0" fontId="82" fillId="13" borderId="63" xfId="1" applyFont="1" applyFill="1" applyBorder="1" applyAlignment="1">
      <alignment horizontal="left" vertical="center" wrapText="1"/>
    </xf>
    <xf numFmtId="0" fontId="31" fillId="6" borderId="72" xfId="1" applyFont="1" applyFill="1" applyBorder="1" applyAlignment="1">
      <alignment horizontal="left" vertical="center" wrapText="1"/>
    </xf>
    <xf numFmtId="0" fontId="31" fillId="6" borderId="72" xfId="1" applyFont="1" applyFill="1" applyBorder="1" applyAlignment="1">
      <alignment horizontal="center" vertical="center" wrapText="1"/>
    </xf>
    <xf numFmtId="0" fontId="31" fillId="6" borderId="64" xfId="1" applyFont="1" applyFill="1" applyBorder="1" applyAlignment="1">
      <alignment horizontal="left" vertical="center" wrapText="1"/>
    </xf>
    <xf numFmtId="0" fontId="31" fillId="6" borderId="34" xfId="1" applyFont="1" applyFill="1" applyBorder="1" applyAlignment="1">
      <alignment vertical="center" wrapText="1"/>
    </xf>
    <xf numFmtId="0" fontId="31" fillId="6" borderId="18" xfId="1" applyFont="1" applyFill="1" applyBorder="1" applyAlignment="1">
      <alignment horizontal="center" vertical="center" wrapText="1"/>
    </xf>
    <xf numFmtId="0" fontId="31" fillId="6" borderId="6" xfId="1" applyFont="1" applyFill="1" applyBorder="1" applyAlignment="1">
      <alignment horizontal="center" vertical="center" wrapText="1"/>
    </xf>
    <xf numFmtId="0" fontId="82" fillId="13" borderId="64" xfId="1" applyFont="1" applyFill="1" applyBorder="1" applyAlignment="1">
      <alignment horizontal="center" vertical="center" wrapText="1"/>
    </xf>
    <xf numFmtId="0" fontId="82" fillId="6" borderId="34" xfId="1" applyFont="1" applyFill="1" applyBorder="1" applyAlignment="1">
      <alignment horizontal="left" vertical="center" wrapText="1"/>
    </xf>
    <xf numFmtId="0" fontId="82" fillId="6" borderId="17" xfId="1" applyFont="1" applyFill="1" applyBorder="1" applyAlignment="1">
      <alignment horizontal="left" vertical="center" wrapText="1"/>
    </xf>
    <xf numFmtId="0" fontId="31" fillId="0" borderId="17" xfId="15" applyFont="1" applyBorder="1" applyAlignment="1">
      <alignment vertical="center" wrapText="1"/>
    </xf>
    <xf numFmtId="0" fontId="77" fillId="4" borderId="12" xfId="1" applyFont="1" applyFill="1" applyBorder="1" applyAlignment="1">
      <alignment horizontal="center" vertical="center" wrapText="1"/>
    </xf>
    <xf numFmtId="0" fontId="77" fillId="4" borderId="9" xfId="1" applyFont="1" applyFill="1" applyBorder="1" applyAlignment="1">
      <alignment vertical="center" wrapText="1"/>
    </xf>
    <xf numFmtId="0" fontId="32" fillId="15" borderId="0" xfId="15" applyFill="1"/>
    <xf numFmtId="0" fontId="71" fillId="14" borderId="12" xfId="1" applyFont="1" applyFill="1" applyBorder="1" applyAlignment="1">
      <alignment horizontal="center" vertical="center" wrapText="1"/>
    </xf>
    <xf numFmtId="0" fontId="71" fillId="14" borderId="4" xfId="1" applyFont="1" applyFill="1" applyBorder="1" applyAlignment="1">
      <alignment horizontal="left" vertical="center" wrapText="1"/>
    </xf>
    <xf numFmtId="0" fontId="71" fillId="14" borderId="9" xfId="1" applyFont="1" applyFill="1" applyBorder="1" applyAlignment="1">
      <alignment horizontal="left" vertical="center" wrapText="1"/>
    </xf>
    <xf numFmtId="0" fontId="32" fillId="14" borderId="0" xfId="15" applyFill="1"/>
    <xf numFmtId="0" fontId="82" fillId="6" borderId="18" xfId="1" applyFont="1" applyFill="1" applyBorder="1" applyAlignment="1">
      <alignment horizontal="center" vertical="center" wrapText="1"/>
    </xf>
    <xf numFmtId="0" fontId="31" fillId="6" borderId="18" xfId="1" applyFont="1" applyFill="1" applyBorder="1" applyAlignment="1">
      <alignment vertical="center" wrapText="1"/>
    </xf>
    <xf numFmtId="0" fontId="82" fillId="13" borderId="72" xfId="1" applyFont="1" applyFill="1" applyBorder="1" applyAlignment="1">
      <alignment horizontal="left" vertical="center" wrapText="1"/>
    </xf>
    <xf numFmtId="0" fontId="82" fillId="6" borderId="17" xfId="1" applyFont="1" applyFill="1" applyBorder="1" applyAlignment="1">
      <alignment horizontal="center" vertical="center" wrapText="1"/>
    </xf>
    <xf numFmtId="0" fontId="31" fillId="6" borderId="18" xfId="1" applyFont="1" applyFill="1" applyBorder="1" applyAlignment="1">
      <alignment horizontal="left" vertical="center" wrapText="1"/>
    </xf>
    <xf numFmtId="49" fontId="82" fillId="13" borderId="64" xfId="1" applyNumberFormat="1" applyFont="1" applyFill="1" applyBorder="1" applyAlignment="1">
      <alignment horizontal="center" vertical="center" wrapText="1"/>
    </xf>
    <xf numFmtId="49" fontId="82" fillId="13" borderId="63" xfId="1" applyNumberFormat="1" applyFont="1" applyFill="1" applyBorder="1" applyAlignment="1">
      <alignment horizontal="center" vertical="center" wrapText="1"/>
    </xf>
    <xf numFmtId="3" fontId="67" fillId="6" borderId="18" xfId="15" applyNumberFormat="1" applyFont="1" applyFill="1" applyBorder="1" applyAlignment="1">
      <alignment horizontal="right" vertical="center"/>
    </xf>
    <xf numFmtId="0" fontId="31" fillId="6" borderId="32" xfId="1" applyFont="1" applyFill="1" applyBorder="1" applyAlignment="1">
      <alignment vertical="center" wrapText="1"/>
    </xf>
    <xf numFmtId="49" fontId="82" fillId="13" borderId="49" xfId="1" applyNumberFormat="1" applyFont="1" applyFill="1" applyBorder="1" applyAlignment="1">
      <alignment horizontal="center" vertical="center" wrapText="1"/>
    </xf>
    <xf numFmtId="0" fontId="82" fillId="13" borderId="64" xfId="1" applyFont="1" applyFill="1" applyBorder="1" applyAlignment="1">
      <alignment horizontal="left" vertical="center" wrapText="1"/>
    </xf>
    <xf numFmtId="0" fontId="76" fillId="6" borderId="17" xfId="1" applyFont="1" applyFill="1" applyBorder="1" applyAlignment="1">
      <alignment horizontal="center" vertical="center" wrapText="1"/>
    </xf>
    <xf numFmtId="0" fontId="82" fillId="6" borderId="14" xfId="1" applyFont="1" applyFill="1" applyBorder="1" applyAlignment="1">
      <alignment horizontal="left" vertical="center" wrapText="1"/>
    </xf>
    <xf numFmtId="0" fontId="31" fillId="0" borderId="27" xfId="15" applyFont="1" applyBorder="1" applyAlignment="1">
      <alignment horizontal="left" vertical="center" wrapText="1"/>
    </xf>
    <xf numFmtId="0" fontId="7" fillId="0" borderId="69" xfId="15" applyFont="1" applyBorder="1" applyAlignment="1">
      <alignment horizontal="center" vertical="center" wrapText="1"/>
    </xf>
    <xf numFmtId="3" fontId="67" fillId="0" borderId="19" xfId="15" applyNumberFormat="1" applyFont="1" applyFill="1" applyBorder="1" applyAlignment="1">
      <alignment horizontal="right" vertical="center"/>
    </xf>
    <xf numFmtId="0" fontId="82" fillId="6" borderId="7" xfId="1" applyFont="1" applyFill="1" applyBorder="1" applyAlignment="1">
      <alignment horizontal="left" vertical="center" wrapText="1"/>
    </xf>
    <xf numFmtId="0" fontId="31" fillId="6" borderId="23" xfId="1" applyFont="1" applyFill="1" applyBorder="1" applyAlignment="1">
      <alignment horizontal="left" vertical="center" wrapText="1"/>
    </xf>
    <xf numFmtId="0" fontId="74" fillId="14" borderId="4" xfId="1" applyFont="1" applyFill="1" applyBorder="1" applyAlignment="1">
      <alignment horizontal="center" vertical="center" wrapText="1"/>
    </xf>
    <xf numFmtId="0" fontId="82" fillId="13" borderId="76" xfId="1" applyFont="1" applyFill="1" applyBorder="1" applyAlignment="1">
      <alignment horizontal="left" vertical="center" wrapText="1"/>
    </xf>
    <xf numFmtId="0" fontId="74" fillId="6" borderId="18" xfId="1" applyFont="1" applyFill="1" applyBorder="1" applyAlignment="1">
      <alignment horizontal="center" vertical="center" wrapText="1"/>
    </xf>
    <xf numFmtId="0" fontId="69" fillId="6" borderId="66" xfId="1" applyFont="1" applyFill="1" applyBorder="1" applyAlignment="1">
      <alignment vertical="center" wrapText="1"/>
    </xf>
    <xf numFmtId="0" fontId="69" fillId="6" borderId="64" xfId="1" applyFont="1" applyFill="1" applyBorder="1" applyAlignment="1">
      <alignment horizontal="center" vertical="center" wrapText="1"/>
    </xf>
    <xf numFmtId="0" fontId="82" fillId="13" borderId="49" xfId="1" applyFont="1" applyFill="1" applyBorder="1" applyAlignment="1">
      <alignment horizontal="left" vertical="center" wrapText="1"/>
    </xf>
    <xf numFmtId="0" fontId="74" fillId="6" borderId="57" xfId="1" applyFont="1" applyFill="1" applyBorder="1" applyAlignment="1">
      <alignment horizontal="center" vertical="center" wrapText="1"/>
    </xf>
    <xf numFmtId="0" fontId="69" fillId="6" borderId="57" xfId="1" applyFont="1" applyFill="1" applyBorder="1" applyAlignment="1">
      <alignment vertical="center" wrapText="1"/>
    </xf>
    <xf numFmtId="0" fontId="76" fillId="6" borderId="14" xfId="1" applyFont="1" applyFill="1" applyBorder="1" applyAlignment="1">
      <alignment horizontal="center" vertical="center" wrapText="1"/>
    </xf>
    <xf numFmtId="0" fontId="76" fillId="6" borderId="17" xfId="1" applyFont="1" applyFill="1" applyBorder="1" applyAlignment="1">
      <alignment vertical="center" wrapText="1"/>
    </xf>
    <xf numFmtId="0" fontId="77" fillId="6" borderId="32" xfId="1" applyFont="1" applyFill="1" applyBorder="1" applyAlignment="1">
      <alignment horizontal="center" vertical="center" wrapText="1"/>
    </xf>
    <xf numFmtId="0" fontId="31" fillId="6" borderId="23" xfId="1" applyFont="1" applyFill="1" applyBorder="1" applyAlignment="1">
      <alignment vertical="center" wrapText="1"/>
    </xf>
    <xf numFmtId="0" fontId="31" fillId="6" borderId="67" xfId="1" applyFont="1" applyFill="1" applyBorder="1" applyAlignment="1">
      <alignment horizontal="left" vertical="center" wrapText="1"/>
    </xf>
    <xf numFmtId="49" fontId="31" fillId="6" borderId="72" xfId="1" applyNumberFormat="1" applyFont="1" applyFill="1" applyBorder="1" applyAlignment="1">
      <alignment horizontal="center" vertical="center" wrapText="1"/>
    </xf>
    <xf numFmtId="49" fontId="31" fillId="6" borderId="64" xfId="1" applyNumberFormat="1" applyFont="1" applyFill="1" applyBorder="1" applyAlignment="1">
      <alignment horizontal="center" vertical="center" wrapText="1"/>
    </xf>
    <xf numFmtId="0" fontId="82" fillId="13" borderId="69" xfId="1" applyFont="1" applyFill="1" applyBorder="1" applyAlignment="1">
      <alignment horizontal="left" vertical="center" wrapText="1"/>
    </xf>
    <xf numFmtId="0" fontId="82" fillId="6" borderId="57" xfId="1" applyFont="1" applyFill="1" applyBorder="1" applyAlignment="1">
      <alignment horizontal="left" vertical="center" wrapText="1"/>
    </xf>
    <xf numFmtId="0" fontId="69" fillId="6" borderId="26" xfId="1" applyFont="1" applyFill="1" applyBorder="1" applyAlignment="1">
      <alignment vertical="center" wrapText="1"/>
    </xf>
    <xf numFmtId="49" fontId="7" fillId="6" borderId="64" xfId="1" applyNumberFormat="1" applyFont="1" applyFill="1" applyBorder="1" applyAlignment="1">
      <alignment horizontal="center" vertical="center" wrapText="1"/>
    </xf>
    <xf numFmtId="0" fontId="75" fillId="6" borderId="18" xfId="1" applyFont="1" applyFill="1" applyBorder="1" applyAlignment="1">
      <alignment horizontal="left" vertical="center" wrapText="1"/>
    </xf>
    <xf numFmtId="49" fontId="75" fillId="6" borderId="63" xfId="1" applyNumberFormat="1" applyFont="1" applyFill="1" applyBorder="1" applyAlignment="1">
      <alignment horizontal="center" vertical="center" wrapText="1"/>
    </xf>
    <xf numFmtId="49" fontId="31" fillId="6" borderId="32" xfId="1" applyNumberFormat="1" applyFont="1" applyFill="1" applyBorder="1" applyAlignment="1">
      <alignment horizontal="center" vertical="center" wrapText="1"/>
    </xf>
    <xf numFmtId="49" fontId="75" fillId="6" borderId="64" xfId="1" applyNumberFormat="1" applyFont="1" applyFill="1" applyBorder="1" applyAlignment="1">
      <alignment horizontal="center" vertical="center" wrapText="1"/>
    </xf>
    <xf numFmtId="0" fontId="35" fillId="4" borderId="4" xfId="15" applyFont="1" applyFill="1" applyBorder="1" applyAlignment="1">
      <alignment horizontal="center"/>
    </xf>
    <xf numFmtId="0" fontId="77" fillId="4" borderId="4" xfId="1" applyFont="1" applyFill="1" applyBorder="1" applyAlignment="1">
      <alignment horizontal="center" vertical="center" wrapText="1"/>
    </xf>
    <xf numFmtId="0" fontId="76" fillId="0" borderId="17" xfId="1" applyFont="1" applyFill="1" applyBorder="1" applyAlignment="1">
      <alignment horizontal="center" vertical="center" wrapText="1"/>
    </xf>
    <xf numFmtId="0" fontId="77" fillId="14" borderId="9" xfId="1" applyFont="1" applyFill="1" applyBorder="1" applyAlignment="1">
      <alignment horizontal="center" vertical="center" wrapText="1"/>
    </xf>
    <xf numFmtId="0" fontId="77" fillId="14" borderId="9" xfId="1" applyFont="1" applyFill="1" applyBorder="1" applyAlignment="1">
      <alignment vertical="center" wrapText="1"/>
    </xf>
    <xf numFmtId="0" fontId="82" fillId="6" borderId="34" xfId="1" applyFont="1" applyFill="1" applyBorder="1" applyAlignment="1">
      <alignment vertical="center" wrapText="1"/>
    </xf>
    <xf numFmtId="0" fontId="82" fillId="6" borderId="17" xfId="1" applyFont="1" applyFill="1" applyBorder="1" applyAlignment="1">
      <alignment vertical="center" wrapText="1"/>
    </xf>
    <xf numFmtId="0" fontId="31" fillId="6" borderId="0" xfId="1" applyFont="1" applyFill="1" applyBorder="1" applyAlignment="1">
      <alignment horizontal="left" vertical="center" wrapText="1"/>
    </xf>
    <xf numFmtId="0" fontId="74" fillId="6" borderId="66" xfId="1" applyFont="1" applyFill="1" applyBorder="1" applyAlignment="1">
      <alignment horizontal="center" vertical="center" wrapText="1"/>
    </xf>
    <xf numFmtId="0" fontId="77" fillId="14" borderId="4" xfId="1" applyFont="1" applyFill="1" applyBorder="1" applyAlignment="1">
      <alignment vertical="center" wrapText="1"/>
    </xf>
    <xf numFmtId="0" fontId="69" fillId="6" borderId="17" xfId="1" applyFont="1" applyFill="1" applyBorder="1" applyAlignment="1">
      <alignment horizontal="center" vertical="center" wrapText="1"/>
    </xf>
    <xf numFmtId="0" fontId="69" fillId="6" borderId="14" xfId="1" applyFont="1" applyFill="1" applyBorder="1" applyAlignment="1">
      <alignment horizontal="center" vertical="center" wrapText="1"/>
    </xf>
    <xf numFmtId="49" fontId="75" fillId="6" borderId="34" xfId="1" applyNumberFormat="1" applyFont="1" applyFill="1" applyBorder="1" applyAlignment="1">
      <alignment horizontal="center" vertical="center" wrapText="1"/>
    </xf>
    <xf numFmtId="0" fontId="75" fillId="6" borderId="67" xfId="1" applyFont="1" applyFill="1" applyBorder="1" applyAlignment="1">
      <alignment vertical="center" wrapText="1"/>
    </xf>
    <xf numFmtId="49" fontId="75" fillId="6" borderId="72" xfId="1" applyNumberFormat="1" applyFont="1" applyFill="1" applyBorder="1" applyAlignment="1">
      <alignment horizontal="center" vertical="center" wrapText="1"/>
    </xf>
    <xf numFmtId="0" fontId="74" fillId="14" borderId="20" xfId="1" applyFont="1" applyFill="1" applyBorder="1" applyAlignment="1">
      <alignment horizontal="center" vertical="center" wrapText="1"/>
    </xf>
    <xf numFmtId="0" fontId="74" fillId="14" borderId="69" xfId="1" applyFont="1" applyFill="1" applyBorder="1" applyAlignment="1">
      <alignment vertical="center" wrapText="1"/>
    </xf>
    <xf numFmtId="49" fontId="69" fillId="6" borderId="64" xfId="1" applyNumberFormat="1" applyFont="1" applyFill="1" applyBorder="1" applyAlignment="1">
      <alignment horizontal="center" vertical="center" wrapText="1"/>
    </xf>
    <xf numFmtId="49" fontId="69" fillId="6" borderId="72" xfId="1" applyNumberFormat="1" applyFont="1" applyFill="1" applyBorder="1" applyAlignment="1">
      <alignment horizontal="center" vertical="center" wrapText="1"/>
    </xf>
    <xf numFmtId="0" fontId="12" fillId="4" borderId="4" xfId="1" applyFont="1" applyFill="1" applyBorder="1" applyAlignment="1">
      <alignment horizontal="center" vertical="center" wrapText="1"/>
    </xf>
    <xf numFmtId="0" fontId="35" fillId="4" borderId="12" xfId="1" applyFont="1" applyFill="1" applyBorder="1" applyAlignment="1">
      <alignment horizontal="center" vertical="center" wrapText="1"/>
    </xf>
    <xf numFmtId="0" fontId="35" fillId="4" borderId="4" xfId="1" applyFont="1" applyFill="1" applyBorder="1" applyAlignment="1">
      <alignment vertical="center" wrapText="1"/>
    </xf>
    <xf numFmtId="0" fontId="35" fillId="4" borderId="9" xfId="1" applyFont="1" applyFill="1" applyBorder="1" applyAlignment="1">
      <alignment vertical="center" wrapText="1"/>
    </xf>
    <xf numFmtId="0" fontId="75" fillId="6" borderId="64" xfId="1" applyFont="1" applyFill="1" applyBorder="1" applyAlignment="1">
      <alignment horizontal="center" vertical="center" wrapText="1"/>
    </xf>
    <xf numFmtId="0" fontId="31" fillId="4" borderId="12" xfId="1" applyFont="1" applyFill="1" applyBorder="1" applyAlignment="1">
      <alignment horizontal="center" vertical="center" wrapText="1"/>
    </xf>
    <xf numFmtId="0" fontId="35" fillId="4" borderId="4" xfId="1" applyFont="1" applyFill="1" applyBorder="1" applyAlignment="1">
      <alignment horizontal="left" vertical="center" wrapText="1"/>
    </xf>
    <xf numFmtId="0" fontId="35" fillId="4" borderId="9" xfId="1" applyFont="1" applyFill="1" applyBorder="1" applyAlignment="1">
      <alignment horizontal="left" vertical="center" wrapText="1"/>
    </xf>
    <xf numFmtId="0" fontId="76" fillId="6" borderId="19" xfId="1" applyFont="1" applyFill="1" applyBorder="1" applyAlignment="1">
      <alignment vertical="center" wrapText="1"/>
    </xf>
    <xf numFmtId="0" fontId="82" fillId="6" borderId="5" xfId="1" applyFont="1" applyFill="1" applyBorder="1" applyAlignment="1">
      <alignment horizontal="center" vertical="center" wrapText="1"/>
    </xf>
    <xf numFmtId="0" fontId="31" fillId="6" borderId="5" xfId="1" applyFont="1" applyFill="1" applyBorder="1" applyAlignment="1">
      <alignment horizontal="left" vertical="center" wrapText="1"/>
    </xf>
    <xf numFmtId="0" fontId="31" fillId="6" borderId="0" xfId="1" applyFont="1" applyFill="1" applyBorder="1" applyAlignment="1">
      <alignment horizontal="center" vertical="center" wrapText="1"/>
    </xf>
    <xf numFmtId="0" fontId="76" fillId="6" borderId="14" xfId="1" applyFont="1" applyFill="1" applyBorder="1" applyAlignment="1">
      <alignment vertical="center" wrapText="1"/>
    </xf>
    <xf numFmtId="3" fontId="67" fillId="13" borderId="14" xfId="15" applyNumberFormat="1" applyFont="1" applyFill="1" applyBorder="1" applyAlignment="1">
      <alignment horizontal="right" vertical="center"/>
    </xf>
    <xf numFmtId="0" fontId="11" fillId="2" borderId="9" xfId="1" applyFont="1" applyFill="1" applyBorder="1" applyAlignment="1">
      <alignment horizontal="center" vertical="center" wrapText="1"/>
    </xf>
    <xf numFmtId="3" fontId="83" fillId="2" borderId="19" xfId="15" applyNumberFormat="1" applyFont="1" applyFill="1" applyBorder="1" applyAlignment="1">
      <alignment horizontal="right" vertical="center"/>
    </xf>
    <xf numFmtId="0" fontId="30" fillId="13" borderId="8" xfId="1" applyFont="1" applyFill="1" applyBorder="1" applyAlignment="1">
      <alignment vertical="center"/>
    </xf>
    <xf numFmtId="3" fontId="83" fillId="13" borderId="19" xfId="15" applyNumberFormat="1" applyFont="1" applyFill="1" applyBorder="1" applyAlignment="1">
      <alignment horizontal="right" vertical="center"/>
    </xf>
    <xf numFmtId="0" fontId="30" fillId="13" borderId="32" xfId="1" applyFont="1" applyFill="1" applyBorder="1" applyAlignment="1">
      <alignment vertical="center"/>
    </xf>
    <xf numFmtId="3" fontId="85" fillId="13" borderId="32" xfId="15" applyNumberFormat="1" applyFont="1" applyFill="1" applyBorder="1" applyAlignment="1">
      <alignment horizontal="right" vertical="center"/>
    </xf>
    <xf numFmtId="0" fontId="30" fillId="13" borderId="7" xfId="1" applyFont="1" applyFill="1" applyBorder="1" applyAlignment="1">
      <alignment vertical="center"/>
    </xf>
    <xf numFmtId="3" fontId="85" fillId="13" borderId="14" xfId="15" applyNumberFormat="1" applyFont="1" applyFill="1" applyBorder="1" applyAlignment="1">
      <alignment horizontal="right" vertical="center"/>
    </xf>
    <xf numFmtId="0" fontId="32" fillId="0" borderId="0" xfId="15" applyBorder="1"/>
    <xf numFmtId="0" fontId="86" fillId="0" borderId="0" xfId="10" applyNumberFormat="1" applyFont="1" applyFill="1" applyBorder="1" applyAlignment="1" applyProtection="1">
      <alignment horizontal="left" vertical="center"/>
      <protection locked="0"/>
    </xf>
    <xf numFmtId="0" fontId="86" fillId="0" borderId="0" xfId="10" applyNumberFormat="1" applyFont="1" applyFill="1" applyBorder="1" applyAlignment="1" applyProtection="1">
      <alignment horizontal="right" vertical="center" wrapText="1"/>
      <protection locked="0"/>
    </xf>
    <xf numFmtId="0" fontId="90" fillId="0" borderId="0" xfId="10" applyNumberFormat="1" applyFont="1" applyFill="1" applyBorder="1" applyAlignment="1" applyProtection="1">
      <alignment horizontal="left" vertical="center"/>
      <protection locked="0"/>
    </xf>
    <xf numFmtId="49" fontId="91" fillId="17" borderId="9" xfId="10" applyNumberFormat="1" applyFont="1" applyFill="1" applyBorder="1" applyAlignment="1" applyProtection="1">
      <alignment horizontal="center" vertical="center" wrapText="1"/>
      <protection locked="0"/>
    </xf>
    <xf numFmtId="49" fontId="91" fillId="17" borderId="4" xfId="10" applyNumberFormat="1" applyFont="1" applyFill="1" applyBorder="1" applyAlignment="1" applyProtection="1">
      <alignment horizontal="center" vertical="center" wrapText="1"/>
      <protection locked="0"/>
    </xf>
    <xf numFmtId="49" fontId="91" fillId="17" borderId="12" xfId="10" applyNumberFormat="1" applyFont="1" applyFill="1" applyBorder="1" applyAlignment="1" applyProtection="1">
      <alignment horizontal="center" vertical="center" wrapText="1"/>
      <protection locked="0"/>
    </xf>
    <xf numFmtId="0" fontId="91" fillId="3" borderId="4" xfId="10" applyNumberFormat="1" applyFont="1" applyFill="1" applyBorder="1" applyAlignment="1" applyProtection="1">
      <alignment horizontal="center" vertical="center" wrapText="1"/>
      <protection locked="0"/>
    </xf>
    <xf numFmtId="49" fontId="92" fillId="16" borderId="9" xfId="10" applyNumberFormat="1" applyFont="1" applyFill="1" applyBorder="1" applyAlignment="1" applyProtection="1">
      <alignment horizontal="center" vertical="center" wrapText="1"/>
      <protection locked="0"/>
    </xf>
    <xf numFmtId="49" fontId="92" fillId="16" borderId="4" xfId="10" applyNumberFormat="1" applyFont="1" applyFill="1" applyBorder="1" applyAlignment="1" applyProtection="1">
      <alignment horizontal="center" vertical="center" wrapText="1"/>
      <protection locked="0"/>
    </xf>
    <xf numFmtId="49" fontId="92" fillId="16" borderId="12" xfId="10" applyNumberFormat="1" applyFont="1" applyFill="1" applyBorder="1" applyAlignment="1" applyProtection="1">
      <alignment horizontal="center" vertical="center" wrapText="1"/>
      <protection locked="0"/>
    </xf>
    <xf numFmtId="0" fontId="92" fillId="0" borderId="4" xfId="10" applyNumberFormat="1" applyFont="1" applyFill="1" applyBorder="1" applyAlignment="1" applyProtection="1">
      <alignment horizontal="center" vertical="center" wrapText="1"/>
      <protection locked="0"/>
    </xf>
    <xf numFmtId="49" fontId="92" fillId="18" borderId="9" xfId="10" applyNumberFormat="1" applyFont="1" applyFill="1" applyBorder="1" applyAlignment="1" applyProtection="1">
      <alignment horizontal="center" vertical="center" wrapText="1"/>
      <protection locked="0"/>
    </xf>
    <xf numFmtId="49" fontId="92" fillId="18" borderId="19" xfId="10" applyNumberFormat="1" applyFont="1" applyFill="1" applyBorder="1" applyAlignment="1" applyProtection="1">
      <alignment horizontal="center" vertical="center" wrapText="1"/>
      <protection locked="0"/>
    </xf>
    <xf numFmtId="49" fontId="92" fillId="18" borderId="84" xfId="10" applyNumberFormat="1" applyFont="1" applyFill="1" applyBorder="1" applyAlignment="1" applyProtection="1">
      <alignment horizontal="center" vertical="center" wrapText="1"/>
      <protection locked="0"/>
    </xf>
    <xf numFmtId="49" fontId="92" fillId="18" borderId="85" xfId="10" applyNumberFormat="1" applyFont="1" applyFill="1" applyBorder="1" applyAlignment="1" applyProtection="1">
      <alignment horizontal="left" vertical="center" wrapText="1"/>
      <protection locked="0"/>
    </xf>
    <xf numFmtId="3" fontId="92" fillId="2" borderId="19" xfId="10" applyNumberFormat="1" applyFont="1" applyFill="1" applyBorder="1" applyAlignment="1" applyProtection="1">
      <alignment horizontal="right" vertical="center"/>
      <protection locked="0"/>
    </xf>
    <xf numFmtId="49" fontId="86" fillId="16" borderId="6" xfId="10" applyNumberFormat="1" applyFont="1" applyFill="1" applyBorder="1" applyAlignment="1" applyProtection="1">
      <alignment horizontal="center" vertical="center" wrapText="1"/>
      <protection locked="0"/>
    </xf>
    <xf numFmtId="49" fontId="93" fillId="19" borderId="86" xfId="10" applyNumberFormat="1" applyFont="1" applyFill="1" applyBorder="1" applyAlignment="1" applyProtection="1">
      <alignment horizontal="center" vertical="center" wrapText="1"/>
      <protection locked="0"/>
    </xf>
    <xf numFmtId="49" fontId="93" fillId="19" borderId="87" xfId="10" applyNumberFormat="1" applyFont="1" applyFill="1" applyBorder="1" applyAlignment="1" applyProtection="1">
      <alignment horizontal="center" vertical="center" wrapText="1"/>
      <protection locked="0"/>
    </xf>
    <xf numFmtId="49" fontId="93" fillId="19" borderId="88" xfId="10" applyNumberFormat="1" applyFont="1" applyFill="1" applyBorder="1" applyAlignment="1" applyProtection="1">
      <alignment horizontal="left" vertical="center" wrapText="1"/>
      <protection locked="0"/>
    </xf>
    <xf numFmtId="3" fontId="93" fillId="12" borderId="86" xfId="10" applyNumberFormat="1" applyFont="1" applyFill="1" applyBorder="1" applyAlignment="1" applyProtection="1">
      <alignment horizontal="right" vertical="center"/>
      <protection locked="0"/>
    </xf>
    <xf numFmtId="3" fontId="92" fillId="0" borderId="18" xfId="10" applyNumberFormat="1" applyFont="1" applyFill="1" applyBorder="1" applyAlignment="1" applyProtection="1">
      <alignment horizontal="right" vertical="center"/>
      <protection locked="0"/>
    </xf>
    <xf numFmtId="3" fontId="86" fillId="0" borderId="91" xfId="10" applyNumberFormat="1" applyFont="1" applyFill="1" applyBorder="1" applyAlignment="1" applyProtection="1">
      <alignment vertical="center"/>
      <protection locked="0"/>
    </xf>
    <xf numFmtId="3" fontId="94" fillId="0" borderId="91" xfId="10" applyNumberFormat="1" applyFont="1" applyFill="1" applyBorder="1" applyAlignment="1" applyProtection="1">
      <alignment horizontal="right" vertical="center"/>
      <protection locked="0"/>
    </xf>
    <xf numFmtId="49" fontId="86" fillId="16" borderId="17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92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93" xfId="10" applyNumberFormat="1" applyFont="1" applyFill="1" applyBorder="1" applyAlignment="1" applyProtection="1">
      <alignment horizontal="left" vertical="center" wrapText="1"/>
      <protection locked="0"/>
    </xf>
    <xf numFmtId="3" fontId="86" fillId="0" borderId="91" xfId="10" applyNumberFormat="1" applyFont="1" applyFill="1" applyBorder="1" applyAlignment="1" applyProtection="1">
      <alignment horizontal="right" vertical="center"/>
      <protection locked="0"/>
    </xf>
    <xf numFmtId="49" fontId="86" fillId="16" borderId="90" xfId="10" applyNumberFormat="1" applyFont="1" applyFill="1" applyBorder="1" applyAlignment="1" applyProtection="1">
      <alignment vertical="center" wrapText="1"/>
      <protection locked="0"/>
    </xf>
    <xf numFmtId="49" fontId="86" fillId="16" borderId="17" xfId="10" applyNumberFormat="1" applyFont="1" applyFill="1" applyBorder="1" applyAlignment="1" applyProtection="1">
      <alignment vertical="center" wrapText="1"/>
      <protection locked="0"/>
    </xf>
    <xf numFmtId="49" fontId="86" fillId="16" borderId="94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95" xfId="10" applyNumberFormat="1" applyFont="1" applyFill="1" applyBorder="1" applyAlignment="1" applyProtection="1">
      <alignment horizontal="left" vertical="center" wrapText="1"/>
      <protection locked="0"/>
    </xf>
    <xf numFmtId="3" fontId="86" fillId="0" borderId="32" xfId="10" applyNumberFormat="1" applyFont="1" applyFill="1" applyBorder="1" applyAlignment="1" applyProtection="1">
      <alignment horizontal="right" vertical="center"/>
      <protection locked="0"/>
    </xf>
    <xf numFmtId="49" fontId="86" fillId="16" borderId="96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97" xfId="10" applyNumberFormat="1" applyFont="1" applyFill="1" applyBorder="1" applyAlignment="1" applyProtection="1">
      <alignment horizontal="left" vertical="center" wrapText="1"/>
      <protection locked="0"/>
    </xf>
    <xf numFmtId="3" fontId="86" fillId="0" borderId="17" xfId="10" applyNumberFormat="1" applyFont="1" applyFill="1" applyBorder="1" applyAlignment="1" applyProtection="1">
      <alignment horizontal="right" vertical="center"/>
      <protection locked="0"/>
    </xf>
    <xf numFmtId="3" fontId="92" fillId="0" borderId="32" xfId="10" applyNumberFormat="1" applyFont="1" applyFill="1" applyBorder="1" applyAlignment="1" applyProtection="1">
      <alignment horizontal="right" vertical="center"/>
      <protection locked="0"/>
    </xf>
    <xf numFmtId="49" fontId="86" fillId="16" borderId="100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101" xfId="10" applyNumberFormat="1" applyFont="1" applyFill="1" applyBorder="1" applyAlignment="1" applyProtection="1">
      <alignment horizontal="left" vertical="center" wrapText="1"/>
      <protection locked="0"/>
    </xf>
    <xf numFmtId="3" fontId="86" fillId="0" borderId="7" xfId="10" applyNumberFormat="1" applyFont="1" applyFill="1" applyBorder="1" applyAlignment="1" applyProtection="1">
      <alignment horizontal="right" vertical="center"/>
      <protection locked="0"/>
    </xf>
    <xf numFmtId="3" fontId="93" fillId="12" borderId="102" xfId="10" applyNumberFormat="1" applyFont="1" applyFill="1" applyBorder="1" applyAlignment="1" applyProtection="1">
      <alignment horizontal="right" vertical="center"/>
      <protection locked="0"/>
    </xf>
    <xf numFmtId="49" fontId="86" fillId="0" borderId="17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0" xfId="10" applyNumberFormat="1" applyFont="1" applyFill="1" applyBorder="1" applyAlignment="1" applyProtection="1">
      <alignment vertical="center" wrapText="1"/>
      <protection locked="0"/>
    </xf>
    <xf numFmtId="49" fontId="86" fillId="16" borderId="91" xfId="10" applyNumberFormat="1" applyFont="1" applyFill="1" applyBorder="1" applyAlignment="1" applyProtection="1">
      <alignment vertical="center" wrapText="1"/>
      <protection locked="0"/>
    </xf>
    <xf numFmtId="3" fontId="93" fillId="12" borderId="103" xfId="10" applyNumberFormat="1" applyFont="1" applyFill="1" applyBorder="1" applyAlignment="1" applyProtection="1">
      <alignment horizontal="right" vertical="center"/>
      <protection locked="0"/>
    </xf>
    <xf numFmtId="3" fontId="94" fillId="0" borderId="32" xfId="1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49" fontId="86" fillId="16" borderId="105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106" xfId="10" applyNumberFormat="1" applyFont="1" applyFill="1" applyBorder="1" applyAlignment="1" applyProtection="1">
      <alignment vertical="center" wrapText="1"/>
      <protection locked="0"/>
    </xf>
    <xf numFmtId="49" fontId="86" fillId="16" borderId="107" xfId="10" applyNumberFormat="1" applyFont="1" applyFill="1" applyBorder="1" applyAlignment="1" applyProtection="1">
      <alignment vertical="center" wrapText="1"/>
      <protection locked="0"/>
    </xf>
    <xf numFmtId="49" fontId="86" fillId="16" borderId="32" xfId="10" applyNumberFormat="1" applyFont="1" applyFill="1" applyBorder="1" applyAlignment="1" applyProtection="1">
      <alignment vertical="center" wrapText="1"/>
      <protection locked="0"/>
    </xf>
    <xf numFmtId="3" fontId="86" fillId="16" borderId="17" xfId="10" applyNumberFormat="1" applyFont="1" applyFill="1" applyBorder="1" applyAlignment="1" applyProtection="1">
      <alignment horizontal="right" vertical="center" wrapText="1"/>
      <protection locked="0"/>
    </xf>
    <xf numFmtId="49" fontId="86" fillId="16" borderId="108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109" xfId="10" applyNumberFormat="1" applyFont="1" applyFill="1" applyBorder="1" applyAlignment="1" applyProtection="1">
      <alignment horizontal="left" vertical="center" wrapText="1"/>
      <protection locked="0"/>
    </xf>
    <xf numFmtId="3" fontId="86" fillId="16" borderId="32" xfId="10" applyNumberFormat="1" applyFont="1" applyFill="1" applyBorder="1" applyAlignment="1" applyProtection="1">
      <alignment horizontal="right" vertical="center" wrapText="1"/>
      <protection locked="0"/>
    </xf>
    <xf numFmtId="49" fontId="86" fillId="16" borderId="89" xfId="10" applyNumberFormat="1" applyFont="1" applyFill="1" applyBorder="1" applyAlignment="1" applyProtection="1">
      <alignment vertical="center" wrapText="1"/>
      <protection locked="0"/>
    </xf>
    <xf numFmtId="49" fontId="86" fillId="16" borderId="110" xfId="10" applyNumberFormat="1" applyFont="1" applyFill="1" applyBorder="1" applyAlignment="1" applyProtection="1">
      <alignment vertical="center" wrapText="1"/>
      <protection locked="0"/>
    </xf>
    <xf numFmtId="49" fontId="86" fillId="16" borderId="111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104" xfId="10" applyNumberFormat="1" applyFont="1" applyFill="1" applyBorder="1" applyAlignment="1" applyProtection="1">
      <alignment horizontal="center" vertical="center" wrapText="1"/>
      <protection locked="0"/>
    </xf>
    <xf numFmtId="0" fontId="31" fillId="0" borderId="101" xfId="0" applyFont="1" applyBorder="1" applyAlignment="1">
      <alignment horizontal="left" vertical="center" wrapText="1"/>
    </xf>
    <xf numFmtId="3" fontId="86" fillId="0" borderId="112" xfId="10" applyNumberFormat="1" applyFont="1" applyFill="1" applyBorder="1" applyAlignment="1" applyProtection="1">
      <alignment horizontal="right" vertical="center"/>
      <protection locked="0"/>
    </xf>
    <xf numFmtId="49" fontId="93" fillId="19" borderId="4" xfId="10" applyNumberFormat="1" applyFont="1" applyFill="1" applyBorder="1" applyAlignment="1" applyProtection="1">
      <alignment horizontal="center" vertical="center" wrapText="1"/>
      <protection locked="0"/>
    </xf>
    <xf numFmtId="49" fontId="93" fillId="19" borderId="113" xfId="10" applyNumberFormat="1" applyFont="1" applyFill="1" applyBorder="1" applyAlignment="1" applyProtection="1">
      <alignment horizontal="center" vertical="center" wrapText="1"/>
      <protection locked="0"/>
    </xf>
    <xf numFmtId="49" fontId="93" fillId="19" borderId="114" xfId="10" applyNumberFormat="1" applyFont="1" applyFill="1" applyBorder="1" applyAlignment="1" applyProtection="1">
      <alignment horizontal="left" vertical="center" wrapText="1"/>
      <protection locked="0"/>
    </xf>
    <xf numFmtId="3" fontId="93" fillId="12" borderId="4" xfId="10" applyNumberFormat="1" applyFont="1" applyFill="1" applyBorder="1" applyAlignment="1" applyProtection="1">
      <alignment horizontal="right" vertical="center"/>
      <protection locked="0"/>
    </xf>
    <xf numFmtId="49" fontId="86" fillId="0" borderId="17" xfId="10" applyNumberFormat="1" applyFont="1" applyFill="1" applyBorder="1" applyAlignment="1" applyProtection="1">
      <alignment vertical="center" wrapText="1"/>
      <protection locked="0"/>
    </xf>
    <xf numFmtId="49" fontId="86" fillId="0" borderId="92" xfId="10" applyNumberFormat="1" applyFont="1" applyFill="1" applyBorder="1" applyAlignment="1" applyProtection="1">
      <alignment horizontal="center" vertical="center" wrapText="1"/>
      <protection locked="0"/>
    </xf>
    <xf numFmtId="0" fontId="31" fillId="0" borderId="93" xfId="0" applyFont="1" applyBorder="1" applyAlignment="1">
      <alignment vertical="center" wrapText="1"/>
    </xf>
    <xf numFmtId="49" fontId="86" fillId="16" borderId="117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90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118" xfId="10" applyNumberFormat="1" applyFont="1" applyFill="1" applyBorder="1" applyAlignment="1" applyProtection="1">
      <alignment vertical="center" wrapText="1"/>
      <protection locked="0"/>
    </xf>
    <xf numFmtId="3" fontId="86" fillId="0" borderId="18" xfId="10" applyNumberFormat="1" applyFont="1" applyFill="1" applyBorder="1" applyAlignment="1" applyProtection="1">
      <alignment horizontal="right" vertical="center"/>
      <protection locked="0"/>
    </xf>
    <xf numFmtId="49" fontId="92" fillId="18" borderId="4" xfId="10" applyNumberFormat="1" applyFont="1" applyFill="1" applyBorder="1" applyAlignment="1" applyProtection="1">
      <alignment horizontal="center" vertical="center" wrapText="1"/>
      <protection locked="0"/>
    </xf>
    <xf numFmtId="49" fontId="92" fillId="18" borderId="113" xfId="10" applyNumberFormat="1" applyFont="1" applyFill="1" applyBorder="1" applyAlignment="1" applyProtection="1">
      <alignment horizontal="center" vertical="center" wrapText="1"/>
      <protection locked="0"/>
    </xf>
    <xf numFmtId="49" fontId="92" fillId="18" borderId="114" xfId="10" applyNumberFormat="1" applyFont="1" applyFill="1" applyBorder="1" applyAlignment="1" applyProtection="1">
      <alignment horizontal="left" vertical="center" wrapText="1"/>
      <protection locked="0"/>
    </xf>
    <xf numFmtId="3" fontId="92" fillId="2" borderId="4" xfId="10" applyNumberFormat="1" applyFont="1" applyFill="1" applyBorder="1" applyAlignment="1" applyProtection="1">
      <alignment horizontal="right" vertical="center"/>
      <protection locked="0"/>
    </xf>
    <xf numFmtId="49" fontId="93" fillId="19" borderId="110" xfId="10" applyNumberFormat="1" applyFont="1" applyFill="1" applyBorder="1" applyAlignment="1" applyProtection="1">
      <alignment horizontal="center" vertical="center" wrapText="1"/>
      <protection locked="0"/>
    </xf>
    <xf numFmtId="49" fontId="93" fillId="19" borderId="108" xfId="10" applyNumberFormat="1" applyFont="1" applyFill="1" applyBorder="1" applyAlignment="1" applyProtection="1">
      <alignment horizontal="center" vertical="center" wrapText="1"/>
      <protection locked="0"/>
    </xf>
    <xf numFmtId="49" fontId="93" fillId="19" borderId="109" xfId="10" applyNumberFormat="1" applyFont="1" applyFill="1" applyBorder="1" applyAlignment="1" applyProtection="1">
      <alignment horizontal="left" vertical="center" wrapText="1"/>
      <protection locked="0"/>
    </xf>
    <xf numFmtId="3" fontId="93" fillId="12" borderId="18" xfId="10" applyNumberFormat="1" applyFont="1" applyFill="1" applyBorder="1" applyAlignment="1" applyProtection="1">
      <alignment horizontal="right" vertical="center"/>
      <protection locked="0"/>
    </xf>
    <xf numFmtId="3" fontId="86" fillId="0" borderId="120" xfId="10" applyNumberFormat="1" applyFont="1" applyFill="1" applyBorder="1" applyAlignment="1" applyProtection="1">
      <alignment horizontal="right" vertical="center"/>
      <protection locked="0"/>
    </xf>
    <xf numFmtId="49" fontId="86" fillId="16" borderId="64" xfId="10" applyNumberFormat="1" applyFont="1" applyFill="1" applyBorder="1" applyAlignment="1" applyProtection="1">
      <alignment vertical="center" wrapText="1"/>
      <protection locked="0"/>
    </xf>
    <xf numFmtId="49" fontId="86" fillId="16" borderId="121" xfId="10" applyNumberFormat="1" applyFont="1" applyFill="1" applyBorder="1" applyAlignment="1" applyProtection="1">
      <alignment vertical="center" wrapText="1"/>
      <protection locked="0"/>
    </xf>
    <xf numFmtId="3" fontId="86" fillId="16" borderId="18" xfId="10" applyNumberFormat="1" applyFont="1" applyFill="1" applyBorder="1" applyAlignment="1" applyProtection="1">
      <alignment horizontal="right" vertical="center" wrapText="1"/>
      <protection locked="0"/>
    </xf>
    <xf numFmtId="49" fontId="86" fillId="16" borderId="110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33" xfId="10" applyNumberFormat="1" applyFont="1" applyFill="1" applyBorder="1" applyAlignment="1" applyProtection="1">
      <alignment horizontal="center" vertical="center" wrapText="1"/>
      <protection locked="0"/>
    </xf>
    <xf numFmtId="2" fontId="86" fillId="0" borderId="89" xfId="10" applyNumberFormat="1" applyFont="1" applyFill="1" applyBorder="1" applyAlignment="1" applyProtection="1">
      <alignment horizontal="left" vertical="center" wrapText="1"/>
      <protection locked="0"/>
    </xf>
    <xf numFmtId="49" fontId="93" fillId="19" borderId="118" xfId="10" applyNumberFormat="1" applyFont="1" applyFill="1" applyBorder="1" applyAlignment="1" applyProtection="1">
      <alignment horizontal="center" vertical="center" wrapText="1"/>
      <protection locked="0"/>
    </xf>
    <xf numFmtId="49" fontId="93" fillId="19" borderId="92" xfId="10" applyNumberFormat="1" applyFont="1" applyFill="1" applyBorder="1" applyAlignment="1" applyProtection="1">
      <alignment horizontal="center" vertical="center" wrapText="1"/>
      <protection locked="0"/>
    </xf>
    <xf numFmtId="49" fontId="93" fillId="19" borderId="93" xfId="10" applyNumberFormat="1" applyFont="1" applyFill="1" applyBorder="1" applyAlignment="1" applyProtection="1">
      <alignment horizontal="left" vertical="center" wrapText="1"/>
      <protection locked="0"/>
    </xf>
    <xf numFmtId="3" fontId="93" fillId="12" borderId="32" xfId="10" applyNumberFormat="1" applyFont="1" applyFill="1" applyBorder="1" applyAlignment="1" applyProtection="1">
      <alignment horizontal="right" vertical="center"/>
      <protection locked="0"/>
    </xf>
    <xf numFmtId="49" fontId="86" fillId="16" borderId="90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69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14" xfId="10" applyNumberFormat="1" applyFont="1" applyFill="1" applyBorder="1" applyAlignment="1" applyProtection="1">
      <alignment horizontal="center" vertical="center" wrapText="1"/>
      <protection locked="0"/>
    </xf>
    <xf numFmtId="49" fontId="86" fillId="0" borderId="117" xfId="10" applyNumberFormat="1" applyFont="1" applyFill="1" applyBorder="1" applyAlignment="1" applyProtection="1">
      <alignment horizontal="center" vertical="center" wrapText="1"/>
      <protection locked="0"/>
    </xf>
    <xf numFmtId="49" fontId="86" fillId="0" borderId="90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center" vertical="center" wrapText="1"/>
    </xf>
    <xf numFmtId="3" fontId="92" fillId="12" borderId="4" xfId="10" applyNumberFormat="1" applyFont="1" applyFill="1" applyBorder="1" applyAlignment="1" applyProtection="1">
      <alignment horizontal="right" vertical="center"/>
      <protection locked="0"/>
    </xf>
    <xf numFmtId="3" fontId="86" fillId="0" borderId="120" xfId="10" applyNumberFormat="1" applyFont="1" applyFill="1" applyBorder="1" applyAlignment="1" applyProtection="1">
      <alignment horizontal="right" vertical="center" wrapText="1"/>
      <protection locked="0"/>
    </xf>
    <xf numFmtId="49" fontId="86" fillId="16" borderId="63" xfId="10" applyNumberFormat="1" applyFont="1" applyFill="1" applyBorder="1" applyAlignment="1" applyProtection="1">
      <alignment vertical="center" wrapText="1"/>
      <protection locked="0"/>
    </xf>
    <xf numFmtId="49" fontId="86" fillId="16" borderId="3" xfId="10" applyNumberFormat="1" applyFont="1" applyFill="1" applyBorder="1" applyAlignment="1" applyProtection="1">
      <alignment vertical="center" wrapText="1"/>
      <protection locked="0"/>
    </xf>
    <xf numFmtId="49" fontId="86" fillId="16" borderId="18" xfId="10" applyNumberFormat="1" applyFont="1" applyFill="1" applyBorder="1" applyAlignment="1" applyProtection="1">
      <alignment vertical="center" wrapText="1"/>
      <protection locked="0"/>
    </xf>
    <xf numFmtId="3" fontId="94" fillId="0" borderId="18" xfId="10" applyNumberFormat="1" applyFont="1" applyFill="1" applyBorder="1" applyAlignment="1" applyProtection="1">
      <alignment horizontal="right" vertical="center"/>
      <protection locked="0"/>
    </xf>
    <xf numFmtId="0" fontId="31" fillId="0" borderId="93" xfId="0" applyFont="1" applyBorder="1" applyAlignment="1">
      <alignment horizontal="left" vertical="center" wrapText="1"/>
    </xf>
    <xf numFmtId="49" fontId="86" fillId="16" borderId="104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63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122" xfId="10" applyNumberFormat="1" applyFont="1" applyFill="1" applyBorder="1" applyAlignment="1" applyProtection="1">
      <alignment horizontal="center" vertical="center" wrapText="1"/>
      <protection locked="0"/>
    </xf>
    <xf numFmtId="49" fontId="92" fillId="18" borderId="69" xfId="10" applyNumberFormat="1" applyFont="1" applyFill="1" applyBorder="1" applyAlignment="1" applyProtection="1">
      <alignment horizontal="center" vertical="center" wrapText="1"/>
      <protection locked="0"/>
    </xf>
    <xf numFmtId="49" fontId="92" fillId="18" borderId="17" xfId="10" applyNumberFormat="1" applyFont="1" applyFill="1" applyBorder="1" applyAlignment="1" applyProtection="1">
      <alignment horizontal="center" vertical="center" wrapText="1"/>
      <protection locked="0"/>
    </xf>
    <xf numFmtId="49" fontId="92" fillId="18" borderId="96" xfId="10" applyNumberFormat="1" applyFont="1" applyFill="1" applyBorder="1" applyAlignment="1" applyProtection="1">
      <alignment horizontal="center" vertical="center" wrapText="1"/>
      <protection locked="0"/>
    </xf>
    <xf numFmtId="49" fontId="92" fillId="18" borderId="97" xfId="10" applyNumberFormat="1" applyFont="1" applyFill="1" applyBorder="1" applyAlignment="1" applyProtection="1">
      <alignment horizontal="left" vertical="center" wrapText="1"/>
      <protection locked="0"/>
    </xf>
    <xf numFmtId="3" fontId="92" fillId="2" borderId="17" xfId="10" applyNumberFormat="1" applyFont="1" applyFill="1" applyBorder="1" applyAlignment="1" applyProtection="1">
      <alignment horizontal="right" vertical="center"/>
      <protection locked="0"/>
    </xf>
    <xf numFmtId="3" fontId="92" fillId="6" borderId="18" xfId="10" applyNumberFormat="1" applyFont="1" applyFill="1" applyBorder="1" applyAlignment="1" applyProtection="1">
      <alignment horizontal="right" vertical="center"/>
      <protection locked="0"/>
    </xf>
    <xf numFmtId="3" fontId="86" fillId="6" borderId="32" xfId="10" applyNumberFormat="1" applyFont="1" applyFill="1" applyBorder="1" applyAlignment="1" applyProtection="1">
      <alignment horizontal="right" vertical="center"/>
      <protection locked="0"/>
    </xf>
    <xf numFmtId="49" fontId="86" fillId="20" borderId="104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90" xfId="0" applyFont="1" applyBorder="1" applyAlignment="1">
      <alignment horizontal="left" vertical="center" wrapText="1"/>
    </xf>
    <xf numFmtId="49" fontId="86" fillId="16" borderId="68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123" xfId="10" applyNumberFormat="1" applyFont="1" applyFill="1" applyBorder="1" applyAlignment="1" applyProtection="1">
      <alignment horizontal="left" vertical="center" wrapText="1"/>
      <protection locked="0"/>
    </xf>
    <xf numFmtId="3" fontId="86" fillId="6" borderId="124" xfId="10" applyNumberFormat="1" applyFont="1" applyFill="1" applyBorder="1" applyAlignment="1" applyProtection="1">
      <alignment horizontal="right" vertical="center"/>
      <protection locked="0"/>
    </xf>
    <xf numFmtId="49" fontId="86" fillId="16" borderId="50" xfId="10" applyNumberFormat="1" applyFont="1" applyFill="1" applyBorder="1" applyAlignment="1" applyProtection="1">
      <alignment horizontal="center" vertical="center" wrapText="1"/>
      <protection locked="0"/>
    </xf>
    <xf numFmtId="49" fontId="86" fillId="20" borderId="125" xfId="10" applyNumberFormat="1" applyFont="1" applyFill="1" applyBorder="1" applyAlignment="1" applyProtection="1">
      <alignment horizontal="left" vertical="center" wrapText="1"/>
      <protection locked="0"/>
    </xf>
    <xf numFmtId="3" fontId="86" fillId="6" borderId="7" xfId="10" applyNumberFormat="1" applyFont="1" applyFill="1" applyBorder="1" applyAlignment="1" applyProtection="1">
      <alignment horizontal="right" vertical="center"/>
      <protection locked="0"/>
    </xf>
    <xf numFmtId="49" fontId="86" fillId="0" borderId="126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127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128" xfId="10" applyNumberFormat="1" applyFont="1" applyFill="1" applyBorder="1" applyAlignment="1" applyProtection="1">
      <alignment horizontal="left" vertical="center" wrapText="1"/>
      <protection locked="0"/>
    </xf>
    <xf numFmtId="0" fontId="94" fillId="0" borderId="0" xfId="10" applyNumberFormat="1" applyFont="1" applyFill="1" applyBorder="1" applyAlignment="1" applyProtection="1">
      <alignment horizontal="left" vertical="center"/>
      <protection locked="0"/>
    </xf>
    <xf numFmtId="49" fontId="86" fillId="16" borderId="129" xfId="10" applyNumberFormat="1" applyFont="1" applyFill="1" applyBorder="1" applyAlignment="1" applyProtection="1">
      <alignment horizontal="center" vertical="center" wrapText="1"/>
      <protection locked="0"/>
    </xf>
    <xf numFmtId="49" fontId="94" fillId="16" borderId="126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130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131" xfId="10" applyNumberFormat="1" applyFont="1" applyFill="1" applyBorder="1" applyAlignment="1" applyProtection="1">
      <alignment horizontal="left" vertical="center" wrapText="1"/>
      <protection locked="0"/>
    </xf>
    <xf numFmtId="3" fontId="86" fillId="0" borderId="124" xfId="10" applyNumberFormat="1" applyFont="1" applyFill="1" applyBorder="1" applyAlignment="1" applyProtection="1">
      <alignment horizontal="right" vertical="center"/>
      <protection locked="0"/>
    </xf>
    <xf numFmtId="3" fontId="86" fillId="0" borderId="134" xfId="10" applyNumberFormat="1" applyFont="1" applyFill="1" applyBorder="1" applyAlignment="1" applyProtection="1">
      <alignment horizontal="right" vertical="center"/>
      <protection locked="0"/>
    </xf>
    <xf numFmtId="3" fontId="92" fillId="0" borderId="137" xfId="10" applyNumberFormat="1" applyFont="1" applyFill="1" applyBorder="1" applyAlignment="1" applyProtection="1">
      <alignment horizontal="right" vertical="center"/>
      <protection locked="0"/>
    </xf>
    <xf numFmtId="49" fontId="86" fillId="16" borderId="139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140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141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0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0" xfId="10" applyNumberFormat="1" applyFont="1" applyFill="1" applyBorder="1" applyAlignment="1" applyProtection="1">
      <alignment horizontal="left" vertical="center" wrapText="1"/>
      <protection locked="0"/>
    </xf>
    <xf numFmtId="3" fontId="86" fillId="0" borderId="142" xfId="10" applyNumberFormat="1" applyFont="1" applyFill="1" applyBorder="1" applyAlignment="1" applyProtection="1">
      <alignment horizontal="right" vertical="center"/>
      <protection locked="0"/>
    </xf>
    <xf numFmtId="49" fontId="86" fillId="16" borderId="143" xfId="10" applyNumberFormat="1" applyFont="1" applyFill="1" applyBorder="1" applyAlignment="1" applyProtection="1">
      <alignment horizontal="center" vertical="center" wrapText="1"/>
      <protection locked="0"/>
    </xf>
    <xf numFmtId="2" fontId="86" fillId="0" borderId="144" xfId="10" applyNumberFormat="1" applyFont="1" applyFill="1" applyBorder="1" applyAlignment="1" applyProtection="1">
      <alignment horizontal="left" vertical="center" wrapText="1"/>
      <protection locked="0"/>
    </xf>
    <xf numFmtId="2" fontId="86" fillId="0" borderId="0" xfId="10" applyNumberFormat="1" applyFont="1" applyFill="1" applyBorder="1" applyAlignment="1" applyProtection="1">
      <alignment horizontal="left" vertical="center" wrapText="1"/>
      <protection locked="0"/>
    </xf>
    <xf numFmtId="49" fontId="93" fillId="19" borderId="145" xfId="10" applyNumberFormat="1" applyFont="1" applyFill="1" applyBorder="1" applyAlignment="1" applyProtection="1">
      <alignment horizontal="center" vertical="center" wrapText="1"/>
      <protection locked="0"/>
    </xf>
    <xf numFmtId="0" fontId="86" fillId="21" borderId="0" xfId="10" applyNumberFormat="1" applyFont="1" applyFill="1" applyBorder="1" applyAlignment="1" applyProtection="1">
      <alignment horizontal="left" vertical="center"/>
      <protection locked="0"/>
    </xf>
    <xf numFmtId="49" fontId="86" fillId="16" borderId="89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126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126" xfId="10" applyNumberFormat="1" applyFont="1" applyFill="1" applyBorder="1" applyAlignment="1" applyProtection="1">
      <alignment horizontal="left" vertical="center" wrapText="1"/>
      <protection locked="0"/>
    </xf>
    <xf numFmtId="3" fontId="94" fillId="0" borderId="142" xfId="10" applyNumberFormat="1" applyFont="1" applyFill="1" applyBorder="1" applyAlignment="1" applyProtection="1">
      <alignment horizontal="right" vertical="center"/>
      <protection locked="0"/>
    </xf>
    <xf numFmtId="3" fontId="86" fillId="0" borderId="137" xfId="10" applyNumberFormat="1" applyFont="1" applyFill="1" applyBorder="1" applyAlignment="1" applyProtection="1">
      <alignment horizontal="right" vertical="center"/>
      <protection locked="0"/>
    </xf>
    <xf numFmtId="49" fontId="86" fillId="0" borderId="127" xfId="10" applyNumberFormat="1" applyFont="1" applyFill="1" applyBorder="1" applyAlignment="1" applyProtection="1">
      <alignment horizontal="center" vertical="center" wrapText="1"/>
      <protection locked="0"/>
    </xf>
    <xf numFmtId="3" fontId="92" fillId="0" borderId="32" xfId="10" applyNumberFormat="1" applyFont="1" applyFill="1" applyBorder="1" applyAlignment="1" applyProtection="1">
      <alignment vertical="center"/>
      <protection locked="0"/>
    </xf>
    <xf numFmtId="3" fontId="86" fillId="0" borderId="32" xfId="10" applyNumberFormat="1" applyFont="1" applyFill="1" applyBorder="1" applyAlignment="1" applyProtection="1">
      <alignment vertical="center"/>
      <protection locked="0"/>
    </xf>
    <xf numFmtId="49" fontId="86" fillId="20" borderId="140" xfId="10" applyNumberFormat="1" applyFont="1" applyFill="1" applyBorder="1" applyAlignment="1" applyProtection="1">
      <alignment horizontal="center" vertical="center" wrapText="1"/>
      <protection locked="0"/>
    </xf>
    <xf numFmtId="49" fontId="86" fillId="20" borderId="141" xfId="10" applyNumberFormat="1" applyFont="1" applyFill="1" applyBorder="1" applyAlignment="1" applyProtection="1">
      <alignment horizontal="left" vertical="center" wrapText="1"/>
      <protection locked="0"/>
    </xf>
    <xf numFmtId="49" fontId="86" fillId="20" borderId="0" xfId="10" applyNumberFormat="1" applyFont="1" applyFill="1" applyBorder="1" applyAlignment="1" applyProtection="1">
      <alignment horizontal="center" vertical="center" wrapText="1"/>
      <protection locked="0"/>
    </xf>
    <xf numFmtId="49" fontId="86" fillId="20" borderId="0" xfId="10" applyNumberFormat="1" applyFont="1" applyFill="1" applyBorder="1" applyAlignment="1" applyProtection="1">
      <alignment horizontal="left" vertical="center" wrapText="1"/>
      <protection locked="0"/>
    </xf>
    <xf numFmtId="3" fontId="86" fillId="0" borderId="17" xfId="10" applyNumberFormat="1" applyFont="1" applyFill="1" applyBorder="1" applyAlignment="1" applyProtection="1">
      <alignment vertical="center"/>
      <protection locked="0"/>
    </xf>
    <xf numFmtId="49" fontId="86" fillId="20" borderId="130" xfId="10" applyNumberFormat="1" applyFont="1" applyFill="1" applyBorder="1" applyAlignment="1" applyProtection="1">
      <alignment horizontal="center" vertical="center" wrapText="1"/>
      <protection locked="0"/>
    </xf>
    <xf numFmtId="49" fontId="86" fillId="20" borderId="131" xfId="10" applyNumberFormat="1" applyFont="1" applyFill="1" applyBorder="1" applyAlignment="1" applyProtection="1">
      <alignment horizontal="left" vertical="center" wrapText="1"/>
      <protection locked="0"/>
    </xf>
    <xf numFmtId="3" fontId="86" fillId="0" borderId="124" xfId="10" applyNumberFormat="1" applyFont="1" applyFill="1" applyBorder="1" applyAlignment="1" applyProtection="1">
      <alignment vertical="center"/>
      <protection locked="0"/>
    </xf>
    <xf numFmtId="49" fontId="86" fillId="16" borderId="149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150" xfId="10" applyNumberFormat="1" applyFont="1" applyFill="1" applyBorder="1" applyAlignment="1" applyProtection="1">
      <alignment horizontal="left" vertical="center" wrapText="1"/>
      <protection locked="0"/>
    </xf>
    <xf numFmtId="49" fontId="86" fillId="0" borderId="78" xfId="10" applyNumberFormat="1" applyFont="1" applyFill="1" applyBorder="1" applyAlignment="1" applyProtection="1">
      <alignment horizontal="center" vertical="center" wrapText="1"/>
      <protection locked="0"/>
    </xf>
    <xf numFmtId="49" fontId="86" fillId="0" borderId="151" xfId="10" applyNumberFormat="1" applyFont="1" applyFill="1" applyBorder="1" applyAlignment="1" applyProtection="1">
      <alignment horizontal="center" vertical="center" wrapText="1"/>
      <protection locked="0"/>
    </xf>
    <xf numFmtId="49" fontId="86" fillId="0" borderId="149" xfId="1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vertical="center"/>
    </xf>
    <xf numFmtId="0" fontId="0" fillId="0" borderId="18" xfId="0" applyBorder="1" applyAlignment="1">
      <alignment vertical="center"/>
    </xf>
    <xf numFmtId="0" fontId="31" fillId="0" borderId="128" xfId="0" applyFont="1" applyBorder="1" applyAlignment="1">
      <alignment horizontal="left" vertical="center" wrapText="1"/>
    </xf>
    <xf numFmtId="49" fontId="86" fillId="16" borderId="152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153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154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155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3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156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148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148" xfId="10" applyNumberFormat="1" applyFont="1" applyFill="1" applyBorder="1" applyAlignment="1" applyProtection="1">
      <alignment vertical="center" wrapText="1"/>
      <protection locked="0"/>
    </xf>
    <xf numFmtId="3" fontId="93" fillId="12" borderId="4" xfId="10" applyNumberFormat="1" applyFont="1" applyFill="1" applyBorder="1" applyAlignment="1" applyProtection="1">
      <alignment vertical="center"/>
      <protection locked="0"/>
    </xf>
    <xf numFmtId="3" fontId="92" fillId="0" borderId="18" xfId="10" applyNumberFormat="1" applyFont="1" applyFill="1" applyBorder="1" applyAlignment="1" applyProtection="1">
      <alignment vertical="center"/>
      <protection locked="0"/>
    </xf>
    <xf numFmtId="3" fontId="94" fillId="0" borderId="32" xfId="10" applyNumberFormat="1" applyFont="1" applyFill="1" applyBorder="1" applyAlignment="1" applyProtection="1">
      <alignment vertical="center"/>
      <protection locked="0"/>
    </xf>
    <xf numFmtId="49" fontId="86" fillId="16" borderId="157" xfId="10" applyNumberFormat="1" applyFont="1" applyFill="1" applyBorder="1" applyAlignment="1" applyProtection="1">
      <alignment horizontal="center" vertical="center" wrapText="1"/>
      <protection locked="0"/>
    </xf>
    <xf numFmtId="49" fontId="93" fillId="12" borderId="4" xfId="10" applyNumberFormat="1" applyFont="1" applyFill="1" applyBorder="1" applyAlignment="1" applyProtection="1">
      <alignment horizontal="center" vertical="center" wrapText="1"/>
      <protection locked="0"/>
    </xf>
    <xf numFmtId="49" fontId="93" fillId="12" borderId="113" xfId="10" applyNumberFormat="1" applyFont="1" applyFill="1" applyBorder="1" applyAlignment="1" applyProtection="1">
      <alignment horizontal="center" vertical="center" wrapText="1"/>
      <protection locked="0"/>
    </xf>
    <xf numFmtId="49" fontId="93" fillId="12" borderId="114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126" xfId="10" applyNumberFormat="1" applyFont="1" applyFill="1" applyBorder="1" applyAlignment="1" applyProtection="1">
      <alignment vertical="center" wrapText="1"/>
      <protection locked="0"/>
    </xf>
    <xf numFmtId="49" fontId="86" fillId="16" borderId="142" xfId="10" applyNumberFormat="1" applyFont="1" applyFill="1" applyBorder="1" applyAlignment="1" applyProtection="1">
      <alignment vertical="center" wrapText="1"/>
      <protection locked="0"/>
    </xf>
    <xf numFmtId="49" fontId="86" fillId="16" borderId="127" xfId="10" applyNumberFormat="1" applyFont="1" applyFill="1" applyBorder="1" applyAlignment="1" applyProtection="1">
      <alignment vertical="center" wrapText="1"/>
      <protection locked="0"/>
    </xf>
    <xf numFmtId="49" fontId="86" fillId="16" borderId="128" xfId="10" applyNumberFormat="1" applyFont="1" applyFill="1" applyBorder="1" applyAlignment="1" applyProtection="1">
      <alignment vertical="center" wrapText="1"/>
      <protection locked="0"/>
    </xf>
    <xf numFmtId="49" fontId="86" fillId="16" borderId="151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67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123" xfId="10" applyNumberFormat="1" applyFont="1" applyFill="1" applyBorder="1" applyAlignment="1" applyProtection="1">
      <alignment horizontal="center" vertical="center" wrapText="1"/>
      <protection locked="0"/>
    </xf>
    <xf numFmtId="3" fontId="92" fillId="0" borderId="91" xfId="10" applyNumberFormat="1" applyFont="1" applyFill="1" applyBorder="1" applyAlignment="1" applyProtection="1">
      <alignment vertical="center"/>
      <protection locked="0"/>
    </xf>
    <xf numFmtId="49" fontId="86" fillId="16" borderId="161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162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165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166" xfId="10" applyNumberFormat="1" applyFont="1" applyFill="1" applyBorder="1" applyAlignment="1" applyProtection="1">
      <alignment horizontal="left" vertical="center" wrapText="1"/>
      <protection locked="0"/>
    </xf>
    <xf numFmtId="3" fontId="92" fillId="0" borderId="53" xfId="10" applyNumberFormat="1" applyFont="1" applyFill="1" applyBorder="1" applyAlignment="1" applyProtection="1">
      <alignment horizontal="right" vertical="center"/>
      <protection locked="0"/>
    </xf>
    <xf numFmtId="3" fontId="86" fillId="0" borderId="167" xfId="10" applyNumberFormat="1" applyFont="1" applyFill="1" applyBorder="1" applyAlignment="1" applyProtection="1">
      <alignment horizontal="right" vertical="center"/>
      <protection locked="0"/>
    </xf>
    <xf numFmtId="49" fontId="86" fillId="16" borderId="168" xfId="10" applyNumberFormat="1" applyFont="1" applyFill="1" applyBorder="1" applyAlignment="1" applyProtection="1">
      <alignment horizontal="left" vertical="center" wrapText="1"/>
      <protection locked="0"/>
    </xf>
    <xf numFmtId="3" fontId="86" fillId="0" borderId="163" xfId="10" applyNumberFormat="1" applyFont="1" applyFill="1" applyBorder="1" applyAlignment="1" applyProtection="1">
      <alignment horizontal="right" vertical="center"/>
      <protection locked="0"/>
    </xf>
    <xf numFmtId="3" fontId="92" fillId="0" borderId="169" xfId="10" applyNumberFormat="1" applyFont="1" applyFill="1" applyBorder="1" applyAlignment="1" applyProtection="1">
      <alignment horizontal="right" vertical="center"/>
      <protection locked="0"/>
    </xf>
    <xf numFmtId="3" fontId="86" fillId="0" borderId="170" xfId="10" applyNumberFormat="1" applyFont="1" applyFill="1" applyBorder="1" applyAlignment="1" applyProtection="1">
      <alignment horizontal="right" vertical="center"/>
      <protection locked="0"/>
    </xf>
    <xf numFmtId="49" fontId="86" fillId="16" borderId="171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172" xfId="10" applyNumberFormat="1" applyFont="1" applyFill="1" applyBorder="1" applyAlignment="1" applyProtection="1">
      <alignment horizontal="left" vertical="center" wrapText="1"/>
      <protection locked="0"/>
    </xf>
    <xf numFmtId="3" fontId="86" fillId="0" borderId="173" xfId="10" applyNumberFormat="1" applyFont="1" applyFill="1" applyBorder="1" applyAlignment="1" applyProtection="1">
      <alignment horizontal="right" vertical="center"/>
      <protection locked="0"/>
    </xf>
    <xf numFmtId="3" fontId="93" fillId="12" borderId="174" xfId="10" applyNumberFormat="1" applyFont="1" applyFill="1" applyBorder="1" applyAlignment="1" applyProtection="1">
      <alignment horizontal="right" vertical="center"/>
      <protection locked="0"/>
    </xf>
    <xf numFmtId="3" fontId="92" fillId="0" borderId="175" xfId="10" applyNumberFormat="1" applyFont="1" applyFill="1" applyBorder="1" applyAlignment="1" applyProtection="1">
      <alignment horizontal="right" vertical="center"/>
      <protection locked="0"/>
    </xf>
    <xf numFmtId="3" fontId="86" fillId="0" borderId="176" xfId="10" applyNumberFormat="1" applyFont="1" applyFill="1" applyBorder="1" applyAlignment="1" applyProtection="1">
      <alignment horizontal="right" vertical="center"/>
      <protection locked="0"/>
    </xf>
    <xf numFmtId="49" fontId="86" fillId="16" borderId="177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178" xfId="10" applyNumberFormat="1" applyFont="1" applyFill="1" applyBorder="1" applyAlignment="1" applyProtection="1">
      <alignment horizontal="left" vertical="center" wrapText="1"/>
      <protection locked="0"/>
    </xf>
    <xf numFmtId="3" fontId="92" fillId="2" borderId="179" xfId="10" applyNumberFormat="1" applyFont="1" applyFill="1" applyBorder="1" applyAlignment="1" applyProtection="1">
      <alignment horizontal="right" vertical="center"/>
      <protection locked="0"/>
    </xf>
    <xf numFmtId="49" fontId="93" fillId="19" borderId="180" xfId="10" applyNumberFormat="1" applyFont="1" applyFill="1" applyBorder="1" applyAlignment="1" applyProtection="1">
      <alignment horizontal="left" vertical="center" wrapText="1"/>
      <protection locked="0"/>
    </xf>
    <xf numFmtId="3" fontId="93" fillId="12" borderId="52" xfId="10" applyNumberFormat="1" applyFont="1" applyFill="1" applyBorder="1" applyAlignment="1" applyProtection="1">
      <alignment horizontal="right" vertical="center"/>
      <protection locked="0"/>
    </xf>
    <xf numFmtId="49" fontId="86" fillId="16" borderId="181" xfId="10" applyNumberFormat="1" applyFont="1" applyFill="1" applyBorder="1" applyAlignment="1" applyProtection="1">
      <alignment horizontal="left" vertical="center" wrapText="1"/>
      <protection locked="0"/>
    </xf>
    <xf numFmtId="3" fontId="86" fillId="0" borderId="182" xfId="10" applyNumberFormat="1" applyFont="1" applyFill="1" applyBorder="1" applyAlignment="1" applyProtection="1">
      <alignment horizontal="right" vertical="center"/>
      <protection locked="0"/>
    </xf>
    <xf numFmtId="49" fontId="86" fillId="0" borderId="6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183" xfId="10" applyNumberFormat="1" applyFont="1" applyFill="1" applyBorder="1" applyAlignment="1" applyProtection="1">
      <alignment horizontal="left" vertical="center" wrapText="1"/>
      <protection locked="0"/>
    </xf>
    <xf numFmtId="3" fontId="86" fillId="0" borderId="44" xfId="10" applyNumberFormat="1" applyFont="1" applyFill="1" applyBorder="1" applyAlignment="1" applyProtection="1">
      <alignment horizontal="right" vertical="center"/>
      <protection locked="0"/>
    </xf>
    <xf numFmtId="49" fontId="92" fillId="18" borderId="184" xfId="10" applyNumberFormat="1" applyFont="1" applyFill="1" applyBorder="1" applyAlignment="1" applyProtection="1">
      <alignment horizontal="left" vertical="center" wrapText="1"/>
      <protection locked="0"/>
    </xf>
    <xf numFmtId="3" fontId="92" fillId="2" borderId="185" xfId="10" applyNumberFormat="1" applyFont="1" applyFill="1" applyBorder="1" applyAlignment="1" applyProtection="1">
      <alignment horizontal="right" vertical="center"/>
      <protection locked="0"/>
    </xf>
    <xf numFmtId="3" fontId="94" fillId="0" borderId="167" xfId="10" applyNumberFormat="1" applyFont="1" applyFill="1" applyBorder="1" applyAlignment="1" applyProtection="1">
      <alignment horizontal="right" vertical="center"/>
      <protection locked="0"/>
    </xf>
    <xf numFmtId="49" fontId="86" fillId="0" borderId="148" xfId="10" applyNumberFormat="1" applyFont="1" applyFill="1" applyBorder="1" applyAlignment="1" applyProtection="1">
      <alignment vertical="center" wrapText="1"/>
      <protection locked="0"/>
    </xf>
    <xf numFmtId="0" fontId="0" fillId="0" borderId="148" xfId="0" applyBorder="1" applyAlignment="1">
      <alignment vertical="center" wrapText="1"/>
    </xf>
    <xf numFmtId="0" fontId="0" fillId="0" borderId="147" xfId="0" applyBorder="1" applyAlignment="1">
      <alignment vertical="center" wrapText="1"/>
    </xf>
    <xf numFmtId="49" fontId="86" fillId="16" borderId="186" xfId="10" applyNumberFormat="1" applyFont="1" applyFill="1" applyBorder="1" applyAlignment="1" applyProtection="1">
      <alignment horizontal="left" vertical="center" wrapText="1"/>
      <protection locked="0"/>
    </xf>
    <xf numFmtId="49" fontId="92" fillId="18" borderId="187" xfId="10" applyNumberFormat="1" applyFont="1" applyFill="1" applyBorder="1" applyAlignment="1" applyProtection="1">
      <alignment horizontal="center" vertical="center" wrapText="1"/>
      <protection locked="0"/>
    </xf>
    <xf numFmtId="49" fontId="92" fillId="18" borderId="188" xfId="10" applyNumberFormat="1" applyFont="1" applyFill="1" applyBorder="1" applyAlignment="1" applyProtection="1">
      <alignment horizontal="left" vertical="center" wrapText="1"/>
      <protection locked="0"/>
    </xf>
    <xf numFmtId="49" fontId="92" fillId="0" borderId="6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163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26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191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192" xfId="10" applyNumberFormat="1" applyFont="1" applyFill="1" applyBorder="1" applyAlignment="1" applyProtection="1">
      <alignment horizontal="left" vertical="center" wrapText="1"/>
      <protection locked="0"/>
    </xf>
    <xf numFmtId="3" fontId="86" fillId="0" borderId="193" xfId="10" applyNumberFormat="1" applyFont="1" applyFill="1" applyBorder="1" applyAlignment="1" applyProtection="1">
      <alignment vertical="center"/>
      <protection locked="0"/>
    </xf>
    <xf numFmtId="49" fontId="86" fillId="16" borderId="195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196" xfId="10" applyNumberFormat="1" applyFont="1" applyFill="1" applyBorder="1" applyAlignment="1" applyProtection="1">
      <alignment horizontal="left" vertical="center" wrapText="1"/>
      <protection locked="0"/>
    </xf>
    <xf numFmtId="3" fontId="86" fillId="0" borderId="193" xfId="10" applyNumberFormat="1" applyFont="1" applyFill="1" applyBorder="1" applyAlignment="1" applyProtection="1">
      <alignment horizontal="right" vertical="center"/>
      <protection locked="0"/>
    </xf>
    <xf numFmtId="0" fontId="86" fillId="0" borderId="197" xfId="10" applyNumberFormat="1" applyFont="1" applyFill="1" applyBorder="1" applyAlignment="1" applyProtection="1">
      <alignment vertical="center"/>
      <protection locked="0"/>
    </xf>
    <xf numFmtId="0" fontId="86" fillId="0" borderId="193" xfId="10" applyNumberFormat="1" applyFont="1" applyFill="1" applyBorder="1" applyAlignment="1" applyProtection="1">
      <alignment vertical="center"/>
      <protection locked="0"/>
    </xf>
    <xf numFmtId="3" fontId="94" fillId="0" borderId="198" xfId="10" applyNumberFormat="1" applyFont="1" applyFill="1" applyBorder="1" applyAlignment="1" applyProtection="1">
      <alignment horizontal="right" vertical="center"/>
      <protection locked="0"/>
    </xf>
    <xf numFmtId="49" fontId="86" fillId="16" borderId="199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200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163" xfId="10" applyNumberFormat="1" applyFont="1" applyFill="1" applyBorder="1" applyAlignment="1" applyProtection="1">
      <alignment vertical="center" wrapText="1"/>
      <protection locked="0"/>
    </xf>
    <xf numFmtId="49" fontId="86" fillId="16" borderId="201" xfId="10" applyNumberFormat="1" applyFont="1" applyFill="1" applyBorder="1" applyAlignment="1" applyProtection="1">
      <alignment vertical="center" wrapText="1"/>
      <protection locked="0"/>
    </xf>
    <xf numFmtId="3" fontId="86" fillId="16" borderId="110" xfId="10" applyNumberFormat="1" applyFont="1" applyFill="1" applyBorder="1" applyAlignment="1" applyProtection="1">
      <alignment horizontal="right" vertical="center" wrapText="1"/>
      <protection locked="0"/>
    </xf>
    <xf numFmtId="49" fontId="86" fillId="16" borderId="190" xfId="10" applyNumberFormat="1" applyFont="1" applyFill="1" applyBorder="1" applyAlignment="1" applyProtection="1">
      <alignment horizontal="left" vertical="center" wrapText="1"/>
      <protection locked="0"/>
    </xf>
    <xf numFmtId="3" fontId="86" fillId="16" borderId="202" xfId="10" applyNumberFormat="1" applyFont="1" applyFill="1" applyBorder="1" applyAlignment="1" applyProtection="1">
      <alignment horizontal="right" vertical="center" wrapText="1"/>
      <protection locked="0"/>
    </xf>
    <xf numFmtId="49" fontId="86" fillId="16" borderId="203" xfId="10" applyNumberFormat="1" applyFont="1" applyFill="1" applyBorder="1" applyAlignment="1" applyProtection="1">
      <alignment horizontal="center" vertical="center" wrapText="1"/>
      <protection locked="0"/>
    </xf>
    <xf numFmtId="3" fontId="86" fillId="16" borderId="32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204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89" xfId="10" applyNumberFormat="1" applyFont="1" applyFill="1" applyBorder="1" applyAlignment="1" applyProtection="1">
      <alignment horizontal="left" vertical="center" wrapText="1"/>
      <protection locked="0"/>
    </xf>
    <xf numFmtId="0" fontId="86" fillId="0" borderId="196" xfId="10" applyNumberFormat="1" applyFont="1" applyFill="1" applyBorder="1" applyAlignment="1" applyProtection="1">
      <alignment horizontal="left" vertical="center"/>
      <protection locked="0"/>
    </xf>
    <xf numFmtId="3" fontId="86" fillId="0" borderId="202" xfId="10" applyNumberFormat="1" applyFont="1" applyFill="1" applyBorder="1" applyAlignment="1" applyProtection="1">
      <alignment horizontal="right" vertical="center"/>
      <protection locked="0"/>
    </xf>
    <xf numFmtId="3" fontId="86" fillId="0" borderId="206" xfId="10" applyNumberFormat="1" applyFont="1" applyFill="1" applyBorder="1" applyAlignment="1" applyProtection="1">
      <alignment vertical="center"/>
      <protection locked="0"/>
    </xf>
    <xf numFmtId="49" fontId="86" fillId="16" borderId="207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203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146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201" xfId="10" applyNumberFormat="1" applyFont="1" applyFill="1" applyBorder="1" applyAlignment="1" applyProtection="1">
      <alignment horizontal="left" vertical="center" wrapText="1"/>
      <protection locked="0"/>
    </xf>
    <xf numFmtId="49" fontId="86" fillId="0" borderId="208" xfId="10" applyNumberFormat="1" applyFont="1" applyFill="1" applyBorder="1" applyAlignment="1" applyProtection="1">
      <alignment horizontal="center" vertical="center" wrapText="1"/>
      <protection locked="0"/>
    </xf>
    <xf numFmtId="0" fontId="86" fillId="16" borderId="196" xfId="10" applyNumberFormat="1" applyFont="1" applyFill="1" applyBorder="1" applyAlignment="1" applyProtection="1">
      <alignment horizontal="left" vertical="center" wrapText="1"/>
      <protection locked="0"/>
    </xf>
    <xf numFmtId="49" fontId="86" fillId="0" borderId="209" xfId="10" applyNumberFormat="1" applyFont="1" applyFill="1" applyBorder="1" applyAlignment="1" applyProtection="1">
      <alignment horizontal="center" vertical="center" wrapText="1"/>
      <protection locked="0"/>
    </xf>
    <xf numFmtId="3" fontId="92" fillId="0" borderId="202" xfId="10" applyNumberFormat="1" applyFont="1" applyFill="1" applyBorder="1" applyAlignment="1" applyProtection="1">
      <alignment horizontal="right" vertical="center"/>
      <protection locked="0"/>
    </xf>
    <xf numFmtId="49" fontId="86" fillId="16" borderId="210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194" xfId="10" applyNumberFormat="1" applyFont="1" applyFill="1" applyBorder="1" applyAlignment="1" applyProtection="1">
      <alignment vertical="center" wrapText="1"/>
      <protection locked="0"/>
    </xf>
    <xf numFmtId="49" fontId="86" fillId="16" borderId="202" xfId="10" applyNumberFormat="1" applyFont="1" applyFill="1" applyBorder="1" applyAlignment="1" applyProtection="1">
      <alignment vertical="center" wrapText="1"/>
      <protection locked="0"/>
    </xf>
    <xf numFmtId="3" fontId="94" fillId="0" borderId="202" xfId="10" applyNumberFormat="1" applyFont="1" applyFill="1" applyBorder="1" applyAlignment="1" applyProtection="1">
      <alignment horizontal="right" vertical="center"/>
      <protection locked="0"/>
    </xf>
    <xf numFmtId="49" fontId="86" fillId="16" borderId="189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108" xfId="10" applyNumberFormat="1" applyFont="1" applyFill="1" applyBorder="1" applyAlignment="1" applyProtection="1">
      <alignment vertical="center" wrapText="1"/>
      <protection locked="0"/>
    </xf>
    <xf numFmtId="49" fontId="86" fillId="16" borderId="109" xfId="10" applyNumberFormat="1" applyFont="1" applyFill="1" applyBorder="1" applyAlignment="1" applyProtection="1">
      <alignment vertical="center" wrapText="1"/>
      <protection locked="0"/>
    </xf>
    <xf numFmtId="3" fontId="86" fillId="16" borderId="206" xfId="10" applyNumberFormat="1" applyFont="1" applyFill="1" applyBorder="1" applyAlignment="1" applyProtection="1">
      <alignment horizontal="right" vertical="center" wrapText="1"/>
      <protection locked="0"/>
    </xf>
    <xf numFmtId="49" fontId="86" fillId="16" borderId="212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213" xfId="10" applyNumberFormat="1" applyFont="1" applyFill="1" applyBorder="1" applyAlignment="1" applyProtection="1">
      <alignment horizontal="left" vertical="center" wrapText="1"/>
      <protection locked="0"/>
    </xf>
    <xf numFmtId="3" fontId="86" fillId="16" borderId="214" xfId="10" applyNumberFormat="1" applyFont="1" applyFill="1" applyBorder="1" applyAlignment="1" applyProtection="1">
      <alignment horizontal="right" vertical="center" wrapText="1"/>
      <protection locked="0"/>
    </xf>
    <xf numFmtId="49" fontId="86" fillId="16" borderId="18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3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144" xfId="10" applyNumberFormat="1" applyFont="1" applyFill="1" applyBorder="1" applyAlignment="1" applyProtection="1">
      <alignment horizontal="left" vertical="center" wrapText="1"/>
      <protection locked="0"/>
    </xf>
    <xf numFmtId="49" fontId="93" fillId="19" borderId="14" xfId="10" applyNumberFormat="1" applyFont="1" applyFill="1" applyBorder="1" applyAlignment="1" applyProtection="1">
      <alignment horizontal="center" vertical="center" wrapText="1"/>
      <protection locked="0"/>
    </xf>
    <xf numFmtId="49" fontId="93" fillId="19" borderId="215" xfId="10" applyNumberFormat="1" applyFont="1" applyFill="1" applyBorder="1" applyAlignment="1" applyProtection="1">
      <alignment horizontal="center" vertical="center" wrapText="1"/>
      <protection locked="0"/>
    </xf>
    <xf numFmtId="49" fontId="93" fillId="19" borderId="216" xfId="10" applyNumberFormat="1" applyFont="1" applyFill="1" applyBorder="1" applyAlignment="1" applyProtection="1">
      <alignment horizontal="left" vertical="center" wrapText="1"/>
      <protection locked="0"/>
    </xf>
    <xf numFmtId="3" fontId="93" fillId="12" borderId="14" xfId="10" applyNumberFormat="1" applyFont="1" applyFill="1" applyBorder="1" applyAlignment="1" applyProtection="1">
      <alignment horizontal="right" vertical="center"/>
      <protection locked="0"/>
    </xf>
    <xf numFmtId="49" fontId="86" fillId="16" borderId="211" xfId="10" applyNumberFormat="1" applyFont="1" applyFill="1" applyBorder="1" applyAlignment="1" applyProtection="1">
      <alignment horizontal="center" vertical="center" wrapText="1"/>
      <protection locked="0"/>
    </xf>
    <xf numFmtId="2" fontId="86" fillId="0" borderId="201" xfId="10" applyNumberFormat="1" applyFont="1" applyFill="1" applyBorder="1" applyAlignment="1" applyProtection="1">
      <alignment horizontal="left" vertical="center" wrapText="1"/>
      <protection locked="0"/>
    </xf>
    <xf numFmtId="2" fontId="86" fillId="0" borderId="194" xfId="10" applyNumberFormat="1" applyFont="1" applyFill="1" applyBorder="1" applyAlignment="1" applyProtection="1">
      <alignment horizontal="left" vertical="center" wrapText="1"/>
      <protection locked="0"/>
    </xf>
    <xf numFmtId="3" fontId="92" fillId="0" borderId="8" xfId="10" applyNumberFormat="1" applyFont="1" applyFill="1" applyBorder="1" applyAlignment="1" applyProtection="1">
      <alignment horizontal="right" vertical="center"/>
      <protection locked="0"/>
    </xf>
    <xf numFmtId="49" fontId="86" fillId="16" borderId="194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194" xfId="10" applyNumberFormat="1" applyFont="1" applyFill="1" applyBorder="1" applyAlignment="1" applyProtection="1">
      <alignment horizontal="left" vertical="center" wrapText="1"/>
      <protection locked="0"/>
    </xf>
    <xf numFmtId="49" fontId="86" fillId="0" borderId="50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218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211" xfId="10" applyNumberFormat="1" applyFont="1" applyFill="1" applyBorder="1" applyAlignment="1" applyProtection="1">
      <alignment horizontal="left" vertical="center" wrapText="1"/>
      <protection locked="0"/>
    </xf>
    <xf numFmtId="3" fontId="86" fillId="0" borderId="34" xfId="10" applyNumberFormat="1" applyFont="1" applyFill="1" applyBorder="1" applyAlignment="1" applyProtection="1">
      <alignment horizontal="right" vertical="center"/>
      <protection locked="0"/>
    </xf>
    <xf numFmtId="49" fontId="86" fillId="0" borderId="189" xfId="10" applyNumberFormat="1" applyFont="1" applyFill="1" applyBorder="1" applyAlignment="1" applyProtection="1">
      <alignment horizontal="center" vertical="center" wrapText="1"/>
      <protection locked="0"/>
    </xf>
    <xf numFmtId="49" fontId="86" fillId="0" borderId="220" xfId="10" applyNumberFormat="1" applyFont="1" applyFill="1" applyBorder="1" applyAlignment="1" applyProtection="1">
      <alignment horizontal="left" vertical="center" wrapText="1"/>
      <protection locked="0"/>
    </xf>
    <xf numFmtId="49" fontId="93" fillId="0" borderId="0" xfId="10" applyNumberFormat="1" applyFont="1" applyFill="1" applyBorder="1" applyAlignment="1" applyProtection="1">
      <alignment horizontal="center" vertical="center" wrapText="1"/>
      <protection locked="0"/>
    </xf>
    <xf numFmtId="49" fontId="93" fillId="0" borderId="17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220" xfId="10" applyNumberFormat="1" applyFont="1" applyFill="1" applyBorder="1" applyAlignment="1" applyProtection="1">
      <alignment horizontal="left" vertical="center" wrapText="1"/>
      <protection locked="0"/>
    </xf>
    <xf numFmtId="49" fontId="92" fillId="12" borderId="4" xfId="10" applyNumberFormat="1" applyFont="1" applyFill="1" applyBorder="1" applyAlignment="1" applyProtection="1">
      <alignment horizontal="center" vertical="center" wrapText="1"/>
      <protection locked="0"/>
    </xf>
    <xf numFmtId="49" fontId="92" fillId="19" borderId="113" xfId="10" applyNumberFormat="1" applyFont="1" applyFill="1" applyBorder="1" applyAlignment="1" applyProtection="1">
      <alignment horizontal="center" vertical="center" wrapText="1"/>
      <protection locked="0"/>
    </xf>
    <xf numFmtId="49" fontId="92" fillId="19" borderId="114" xfId="10" applyNumberFormat="1" applyFont="1" applyFill="1" applyBorder="1" applyAlignment="1" applyProtection="1">
      <alignment horizontal="left" vertical="center" wrapText="1"/>
      <protection locked="0"/>
    </xf>
    <xf numFmtId="49" fontId="86" fillId="20" borderId="195" xfId="10" applyNumberFormat="1" applyFont="1" applyFill="1" applyBorder="1" applyAlignment="1" applyProtection="1">
      <alignment horizontal="center" vertical="center" wrapText="1"/>
      <protection locked="0"/>
    </xf>
    <xf numFmtId="49" fontId="86" fillId="20" borderId="220" xfId="10" applyNumberFormat="1" applyFont="1" applyFill="1" applyBorder="1" applyAlignment="1" applyProtection="1">
      <alignment horizontal="left" vertical="center" wrapText="1"/>
      <protection locked="0"/>
    </xf>
    <xf numFmtId="49" fontId="92" fillId="20" borderId="0" xfId="10" applyNumberFormat="1" applyFont="1" applyFill="1" applyBorder="1" applyAlignment="1" applyProtection="1">
      <alignment vertical="center" wrapText="1"/>
      <protection locked="0"/>
    </xf>
    <xf numFmtId="49" fontId="86" fillId="16" borderId="221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222" xfId="10" applyNumberFormat="1" applyFont="1" applyFill="1" applyBorder="1" applyAlignment="1" applyProtection="1">
      <alignment horizontal="left" vertical="center" wrapText="1"/>
      <protection locked="0"/>
    </xf>
    <xf numFmtId="3" fontId="86" fillId="0" borderId="223" xfId="10" applyNumberFormat="1" applyFont="1" applyFill="1" applyBorder="1" applyAlignment="1" applyProtection="1">
      <alignment horizontal="right" vertical="center"/>
      <protection locked="0"/>
    </xf>
    <xf numFmtId="3" fontId="86" fillId="0" borderId="224" xfId="10" applyNumberFormat="1" applyFont="1" applyFill="1" applyBorder="1" applyAlignment="1" applyProtection="1">
      <alignment horizontal="right" vertical="center"/>
      <protection locked="0"/>
    </xf>
    <xf numFmtId="49" fontId="86" fillId="16" borderId="197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225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146" xfId="10" applyNumberFormat="1" applyFont="1" applyFill="1" applyBorder="1" applyAlignment="1" applyProtection="1">
      <alignment vertical="center" wrapText="1"/>
      <protection locked="0"/>
    </xf>
    <xf numFmtId="49" fontId="93" fillId="19" borderId="195" xfId="10" applyNumberFormat="1" applyFont="1" applyFill="1" applyBorder="1" applyAlignment="1" applyProtection="1">
      <alignment horizontal="center" vertical="center" wrapText="1"/>
      <protection locked="0"/>
    </xf>
    <xf numFmtId="49" fontId="93" fillId="19" borderId="196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220" xfId="10" applyNumberFormat="1" applyFont="1" applyFill="1" applyBorder="1" applyAlignment="1" applyProtection="1">
      <alignment horizontal="center" vertical="center" wrapText="1"/>
      <protection locked="0"/>
    </xf>
    <xf numFmtId="2" fontId="86" fillId="0" borderId="0" xfId="10" applyNumberFormat="1" applyFont="1" applyFill="1" applyBorder="1" applyAlignment="1" applyProtection="1">
      <alignment vertical="center" wrapText="1"/>
      <protection locked="0"/>
    </xf>
    <xf numFmtId="2" fontId="86" fillId="0" borderId="17" xfId="10" applyNumberFormat="1" applyFont="1" applyFill="1" applyBorder="1" applyAlignment="1" applyProtection="1">
      <alignment vertical="center" wrapText="1"/>
      <protection locked="0"/>
    </xf>
    <xf numFmtId="49" fontId="31" fillId="20" borderId="195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226" xfId="10" applyNumberFormat="1" applyFont="1" applyFill="1" applyBorder="1" applyAlignment="1" applyProtection="1">
      <alignment horizontal="left" vertical="center" wrapText="1"/>
      <protection locked="0"/>
    </xf>
    <xf numFmtId="3" fontId="86" fillId="0" borderId="227" xfId="10" applyNumberFormat="1" applyFont="1" applyFill="1" applyBorder="1" applyAlignment="1" applyProtection="1">
      <alignment horizontal="right" vertical="center"/>
      <protection locked="0"/>
    </xf>
    <xf numFmtId="3" fontId="86" fillId="0" borderId="198" xfId="10" applyNumberFormat="1" applyFont="1" applyFill="1" applyBorder="1" applyAlignment="1" applyProtection="1">
      <alignment horizontal="right" vertical="center"/>
      <protection locked="0"/>
    </xf>
    <xf numFmtId="49" fontId="86" fillId="16" borderId="219" xfId="10" applyNumberFormat="1" applyFont="1" applyFill="1" applyBorder="1" applyAlignment="1" applyProtection="1">
      <alignment horizontal="center" vertical="center" wrapText="1"/>
      <protection locked="0"/>
    </xf>
    <xf numFmtId="2" fontId="86" fillId="0" borderId="222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228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229" xfId="10" applyNumberFormat="1" applyFont="1" applyFill="1" applyBorder="1" applyAlignment="1" applyProtection="1">
      <alignment horizontal="left" vertical="center" wrapText="1"/>
      <protection locked="0"/>
    </xf>
    <xf numFmtId="3" fontId="86" fillId="0" borderId="230" xfId="10" applyNumberFormat="1" applyFont="1" applyFill="1" applyBorder="1" applyAlignment="1" applyProtection="1">
      <alignment horizontal="right" vertical="center"/>
      <protection locked="0"/>
    </xf>
    <xf numFmtId="3" fontId="86" fillId="0" borderId="18" xfId="10" applyNumberFormat="1" applyFont="1" applyFill="1" applyBorder="1" applyAlignment="1" applyProtection="1">
      <alignment vertical="center"/>
      <protection locked="0"/>
    </xf>
    <xf numFmtId="0" fontId="86" fillId="0" borderId="0" xfId="10" applyNumberFormat="1" applyFont="1" applyFill="1" applyBorder="1" applyAlignment="1" applyProtection="1">
      <alignment vertical="center"/>
      <protection locked="0"/>
    </xf>
    <xf numFmtId="0" fontId="86" fillId="0" borderId="17" xfId="10" applyNumberFormat="1" applyFont="1" applyFill="1" applyBorder="1" applyAlignment="1" applyProtection="1">
      <alignment vertical="center"/>
      <protection locked="0"/>
    </xf>
    <xf numFmtId="0" fontId="31" fillId="0" borderId="222" xfId="0" applyFont="1" applyBorder="1" applyAlignment="1">
      <alignment horizontal="left" vertical="center" wrapText="1"/>
    </xf>
    <xf numFmtId="2" fontId="86" fillId="0" borderId="150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232" xfId="10" applyNumberFormat="1" applyFont="1" applyFill="1" applyBorder="1" applyAlignment="1" applyProtection="1">
      <alignment horizontal="center" vertical="center" wrapText="1"/>
      <protection locked="0"/>
    </xf>
    <xf numFmtId="3" fontId="86" fillId="0" borderId="214" xfId="10" applyNumberFormat="1" applyFont="1" applyFill="1" applyBorder="1" applyAlignment="1" applyProtection="1">
      <alignment horizontal="right" vertical="center"/>
      <protection locked="0"/>
    </xf>
    <xf numFmtId="49" fontId="86" fillId="16" borderId="219" xfId="10" applyNumberFormat="1" applyFont="1" applyFill="1" applyBorder="1" applyAlignment="1" applyProtection="1">
      <alignment vertical="center" wrapText="1"/>
      <protection locked="0"/>
    </xf>
    <xf numFmtId="49" fontId="86" fillId="16" borderId="227" xfId="10" applyNumberFormat="1" applyFont="1" applyFill="1" applyBorder="1" applyAlignment="1" applyProtection="1">
      <alignment vertical="center" wrapText="1"/>
      <protection locked="0"/>
    </xf>
    <xf numFmtId="49" fontId="86" fillId="16" borderId="201" xfId="10" applyNumberFormat="1" applyFont="1" applyFill="1" applyBorder="1" applyAlignment="1" applyProtection="1">
      <alignment horizontal="center" vertical="center" wrapText="1"/>
      <protection locked="0"/>
    </xf>
    <xf numFmtId="49" fontId="92" fillId="17" borderId="9" xfId="10" applyNumberFormat="1" applyFont="1" applyFill="1" applyBorder="1" applyAlignment="1" applyProtection="1">
      <alignment horizontal="center" vertical="center" wrapText="1"/>
      <protection locked="0"/>
    </xf>
    <xf numFmtId="49" fontId="92" fillId="17" borderId="19" xfId="10" applyNumberFormat="1" applyFont="1" applyFill="1" applyBorder="1" applyAlignment="1" applyProtection="1">
      <alignment horizontal="center" vertical="center" wrapText="1"/>
      <protection locked="0"/>
    </xf>
    <xf numFmtId="49" fontId="92" fillId="17" borderId="84" xfId="10" applyNumberFormat="1" applyFont="1" applyFill="1" applyBorder="1" applyAlignment="1" applyProtection="1">
      <alignment horizontal="center" vertical="center" wrapText="1"/>
      <protection locked="0"/>
    </xf>
    <xf numFmtId="49" fontId="92" fillId="17" borderId="85" xfId="10" applyNumberFormat="1" applyFont="1" applyFill="1" applyBorder="1" applyAlignment="1" applyProtection="1">
      <alignment horizontal="left" vertical="center" wrapText="1"/>
      <protection locked="0"/>
    </xf>
    <xf numFmtId="3" fontId="92" fillId="3" borderId="233" xfId="10" applyNumberFormat="1" applyFont="1" applyFill="1" applyBorder="1" applyAlignment="1" applyProtection="1">
      <alignment horizontal="right" vertical="center"/>
      <protection locked="0"/>
    </xf>
    <xf numFmtId="3" fontId="94" fillId="0" borderId="170" xfId="10" applyNumberFormat="1" applyFont="1" applyFill="1" applyBorder="1" applyAlignment="1" applyProtection="1">
      <alignment horizontal="right" vertical="center"/>
      <protection locked="0"/>
    </xf>
    <xf numFmtId="3" fontId="86" fillId="0" borderId="234" xfId="10" applyNumberFormat="1" applyFont="1" applyFill="1" applyBorder="1" applyAlignment="1" applyProtection="1">
      <alignment horizontal="right" vertical="center"/>
      <protection locked="0"/>
    </xf>
    <xf numFmtId="49" fontId="86" fillId="0" borderId="157" xfId="10" applyNumberFormat="1" applyFont="1" applyFill="1" applyBorder="1" applyAlignment="1" applyProtection="1">
      <alignment horizontal="center" vertical="center" wrapText="1"/>
      <protection locked="0"/>
    </xf>
    <xf numFmtId="49" fontId="86" fillId="0" borderId="201" xfId="10" applyNumberFormat="1" applyFont="1" applyFill="1" applyBorder="1" applyAlignment="1" applyProtection="1">
      <alignment horizontal="left" vertical="center" wrapText="1"/>
      <protection locked="0"/>
    </xf>
    <xf numFmtId="3" fontId="93" fillId="12" borderId="235" xfId="10" applyNumberFormat="1" applyFont="1" applyFill="1" applyBorder="1" applyAlignment="1" applyProtection="1">
      <alignment horizontal="right" vertical="center"/>
      <protection locked="0"/>
    </xf>
    <xf numFmtId="49" fontId="86" fillId="0" borderId="195" xfId="10" applyNumberFormat="1" applyFont="1" applyFill="1" applyBorder="1" applyAlignment="1" applyProtection="1">
      <alignment horizontal="center" vertical="center" wrapText="1"/>
      <protection locked="0"/>
    </xf>
    <xf numFmtId="49" fontId="86" fillId="0" borderId="196" xfId="10" applyNumberFormat="1" applyFont="1" applyFill="1" applyBorder="1" applyAlignment="1" applyProtection="1">
      <alignment horizontal="left" vertical="center" wrapText="1"/>
      <protection locked="0"/>
    </xf>
    <xf numFmtId="3" fontId="86" fillId="0" borderId="179" xfId="10" applyNumberFormat="1" applyFont="1" applyFill="1" applyBorder="1" applyAlignment="1" applyProtection="1">
      <alignment horizontal="right" vertical="center"/>
      <protection locked="0"/>
    </xf>
    <xf numFmtId="3" fontId="94" fillId="0" borderId="234" xfId="10" applyNumberFormat="1" applyFont="1" applyFill="1" applyBorder="1" applyAlignment="1" applyProtection="1">
      <alignment horizontal="right" vertical="center"/>
      <protection locked="0"/>
    </xf>
    <xf numFmtId="49" fontId="86" fillId="0" borderId="205" xfId="10" applyNumberFormat="1" applyFont="1" applyFill="1" applyBorder="1" applyAlignment="1" applyProtection="1">
      <alignment horizontal="left" vertical="center" wrapText="1"/>
      <protection locked="0"/>
    </xf>
    <xf numFmtId="3" fontId="86" fillId="0" borderId="236" xfId="10" applyNumberFormat="1" applyFont="1" applyFill="1" applyBorder="1" applyAlignment="1" applyProtection="1">
      <alignment horizontal="right" vertical="center"/>
      <protection locked="0"/>
    </xf>
    <xf numFmtId="49" fontId="31" fillId="0" borderId="222" xfId="0" applyNumberFormat="1" applyFont="1" applyBorder="1" applyAlignment="1">
      <alignment vertical="center" wrapText="1"/>
    </xf>
    <xf numFmtId="49" fontId="31" fillId="0" borderId="196" xfId="0" applyNumberFormat="1" applyFont="1" applyBorder="1" applyAlignment="1">
      <alignment vertical="center" wrapText="1"/>
    </xf>
    <xf numFmtId="49" fontId="86" fillId="16" borderId="237" xfId="10" applyNumberFormat="1" applyFont="1" applyFill="1" applyBorder="1" applyAlignment="1" applyProtection="1">
      <alignment horizontal="center" vertical="center" wrapText="1"/>
      <protection locked="0"/>
    </xf>
    <xf numFmtId="49" fontId="86" fillId="20" borderId="17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209" xfId="10" applyNumberFormat="1" applyFont="1" applyFill="1" applyBorder="1" applyAlignment="1" applyProtection="1">
      <alignment horizontal="center" vertical="center" wrapText="1"/>
      <protection locked="0"/>
    </xf>
    <xf numFmtId="49" fontId="31" fillId="0" borderId="150" xfId="0" applyNumberFormat="1" applyFont="1" applyBorder="1" applyAlignment="1">
      <alignment vertical="center" wrapText="1"/>
    </xf>
    <xf numFmtId="49" fontId="86" fillId="16" borderId="240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221" xfId="10" applyNumberFormat="1" applyFont="1" applyFill="1" applyBorder="1" applyAlignment="1" applyProtection="1">
      <alignment horizontal="left" vertical="center" wrapText="1"/>
      <protection locked="0"/>
    </xf>
    <xf numFmtId="49" fontId="92" fillId="18" borderId="180" xfId="10" applyNumberFormat="1" applyFont="1" applyFill="1" applyBorder="1" applyAlignment="1" applyProtection="1">
      <alignment horizontal="left" vertical="center" wrapText="1"/>
      <protection locked="0"/>
    </xf>
    <xf numFmtId="3" fontId="92" fillId="2" borderId="52" xfId="10" applyNumberFormat="1" applyFont="1" applyFill="1" applyBorder="1" applyAlignment="1" applyProtection="1">
      <alignment horizontal="right" vertical="center"/>
      <protection locked="0"/>
    </xf>
    <xf numFmtId="49" fontId="93" fillId="19" borderId="24" xfId="10" applyNumberFormat="1" applyFont="1" applyFill="1" applyBorder="1" applyAlignment="1" applyProtection="1">
      <alignment horizontal="center" vertical="center" wrapText="1"/>
      <protection locked="0"/>
    </xf>
    <xf numFmtId="49" fontId="93" fillId="19" borderId="113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241" xfId="10" applyNumberFormat="1" applyFont="1" applyFill="1" applyBorder="1" applyAlignment="1" applyProtection="1">
      <alignment vertical="center" wrapText="1"/>
      <protection locked="0"/>
    </xf>
    <xf numFmtId="49" fontId="86" fillId="16" borderId="242" xfId="10" applyNumberFormat="1" applyFont="1" applyFill="1" applyBorder="1" applyAlignment="1" applyProtection="1">
      <alignment vertical="center" wrapText="1"/>
      <protection locked="0"/>
    </xf>
    <xf numFmtId="49" fontId="86" fillId="16" borderId="243" xfId="10" applyNumberFormat="1" applyFont="1" applyFill="1" applyBorder="1" applyAlignment="1" applyProtection="1">
      <alignment vertical="center" wrapText="1"/>
      <protection locked="0"/>
    </xf>
    <xf numFmtId="3" fontId="86" fillId="0" borderId="246" xfId="10" applyNumberFormat="1" applyFont="1" applyFill="1" applyBorder="1" applyAlignment="1" applyProtection="1">
      <alignment horizontal="right" vertical="center"/>
      <protection locked="0"/>
    </xf>
    <xf numFmtId="49" fontId="86" fillId="16" borderId="247" xfId="10" applyNumberFormat="1" applyFont="1" applyFill="1" applyBorder="1" applyAlignment="1" applyProtection="1">
      <alignment vertical="center" wrapText="1"/>
      <protection locked="0"/>
    </xf>
    <xf numFmtId="49" fontId="86" fillId="16" borderId="239" xfId="10" applyNumberFormat="1" applyFont="1" applyFill="1" applyBorder="1" applyAlignment="1" applyProtection="1">
      <alignment vertical="center" wrapText="1"/>
      <protection locked="0"/>
    </xf>
    <xf numFmtId="49" fontId="86" fillId="16" borderId="250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251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252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253" xfId="10" applyNumberFormat="1" applyFont="1" applyFill="1" applyBorder="1" applyAlignment="1" applyProtection="1">
      <alignment horizontal="left" vertical="center" wrapText="1"/>
      <protection locked="0"/>
    </xf>
    <xf numFmtId="3" fontId="86" fillId="0" borderId="254" xfId="10" applyNumberFormat="1" applyFont="1" applyFill="1" applyBorder="1" applyAlignment="1" applyProtection="1">
      <alignment horizontal="right" vertical="center"/>
      <protection locked="0"/>
    </xf>
    <xf numFmtId="49" fontId="86" fillId="16" borderId="255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256" xfId="10" applyNumberFormat="1" applyFont="1" applyFill="1" applyBorder="1" applyAlignment="1" applyProtection="1">
      <alignment horizontal="left" vertical="center" wrapText="1"/>
      <protection locked="0"/>
    </xf>
    <xf numFmtId="3" fontId="86" fillId="0" borderId="0" xfId="10" applyNumberFormat="1" applyFont="1" applyFill="1" applyBorder="1" applyAlignment="1" applyProtection="1">
      <alignment horizontal="right" vertical="center"/>
      <protection locked="0"/>
    </xf>
    <xf numFmtId="3" fontId="86" fillId="0" borderId="257" xfId="10" applyNumberFormat="1" applyFont="1" applyFill="1" applyBorder="1" applyAlignment="1" applyProtection="1">
      <alignment horizontal="right" vertical="center"/>
      <protection locked="0"/>
    </xf>
    <xf numFmtId="49" fontId="92" fillId="17" borderId="52" xfId="10" applyNumberFormat="1" applyFont="1" applyFill="1" applyBorder="1" applyAlignment="1" applyProtection="1">
      <alignment vertical="top" wrapText="1"/>
      <protection locked="0"/>
    </xf>
    <xf numFmtId="3" fontId="93" fillId="19" borderId="52" xfId="10" applyNumberFormat="1" applyFont="1" applyFill="1" applyBorder="1" applyAlignment="1" applyProtection="1">
      <alignment horizontal="right" vertical="center" wrapText="1"/>
      <protection locked="0"/>
    </xf>
    <xf numFmtId="3" fontId="86" fillId="16" borderId="53" xfId="10" applyNumberFormat="1" applyFont="1" applyFill="1" applyBorder="1" applyAlignment="1" applyProtection="1">
      <alignment horizontal="right" vertical="center" wrapText="1"/>
      <protection locked="0"/>
    </xf>
    <xf numFmtId="3" fontId="86" fillId="16" borderId="259" xfId="10" applyNumberFormat="1" applyFont="1" applyFill="1" applyBorder="1" applyAlignment="1" applyProtection="1">
      <alignment horizontal="right" vertical="center" wrapText="1"/>
      <protection locked="0"/>
    </xf>
    <xf numFmtId="3" fontId="86" fillId="0" borderId="0" xfId="10" applyNumberFormat="1" applyFont="1" applyFill="1" applyBorder="1" applyAlignment="1" applyProtection="1">
      <alignment horizontal="left" vertical="center"/>
      <protection locked="0"/>
    </xf>
    <xf numFmtId="3" fontId="86" fillId="16" borderId="56" xfId="10" applyNumberFormat="1" applyFont="1" applyFill="1" applyBorder="1" applyAlignment="1" applyProtection="1">
      <alignment horizontal="right" vertical="center" wrapText="1"/>
      <protection locked="0"/>
    </xf>
    <xf numFmtId="3" fontId="92" fillId="0" borderId="0" xfId="10" applyNumberFormat="1" applyFont="1" applyFill="1" applyBorder="1" applyAlignment="1" applyProtection="1">
      <alignment horizontal="left" vertical="center"/>
      <protection locked="0"/>
    </xf>
    <xf numFmtId="3" fontId="86" fillId="16" borderId="260" xfId="10" applyNumberFormat="1" applyFont="1" applyFill="1" applyBorder="1" applyAlignment="1" applyProtection="1">
      <alignment horizontal="right" vertical="center" wrapText="1"/>
      <protection locked="0"/>
    </xf>
    <xf numFmtId="49" fontId="91" fillId="16" borderId="0" xfId="10" applyNumberFormat="1" applyFont="1" applyFill="1" applyBorder="1" applyAlignment="1" applyProtection="1">
      <alignment vertical="top" wrapText="1"/>
      <protection locked="0"/>
    </xf>
    <xf numFmtId="3" fontId="91" fillId="16" borderId="0" xfId="10" applyNumberFormat="1" applyFont="1" applyFill="1" applyBorder="1" applyAlignment="1" applyProtection="1">
      <alignment vertical="top" wrapText="1"/>
      <protection locked="0"/>
    </xf>
    <xf numFmtId="0" fontId="20" fillId="0" borderId="261" xfId="1" applyFont="1" applyFill="1" applyBorder="1" applyAlignment="1">
      <alignment horizontal="center" vertical="center" wrapText="1"/>
    </xf>
    <xf numFmtId="0" fontId="20" fillId="0" borderId="261" xfId="1" applyFont="1" applyBorder="1" applyAlignment="1">
      <alignment horizontal="center" vertical="center"/>
    </xf>
    <xf numFmtId="0" fontId="20" fillId="0" borderId="262" xfId="1" applyFont="1" applyBorder="1" applyAlignment="1">
      <alignment horizontal="center" vertical="center"/>
    </xf>
    <xf numFmtId="0" fontId="20" fillId="0" borderId="73" xfId="1" applyFont="1" applyBorder="1" applyAlignment="1">
      <alignment horizontal="center" vertical="center" wrapText="1"/>
    </xf>
    <xf numFmtId="3" fontId="11" fillId="0" borderId="66" xfId="1" applyNumberFormat="1" applyFont="1" applyBorder="1" applyAlignment="1">
      <alignment horizontal="right" vertical="center"/>
    </xf>
    <xf numFmtId="3" fontId="20" fillId="0" borderId="23" xfId="1" applyNumberFormat="1" applyFont="1" applyBorder="1" applyAlignment="1">
      <alignment horizontal="right" vertical="center"/>
    </xf>
    <xf numFmtId="3" fontId="11" fillId="0" borderId="63" xfId="1" applyNumberFormat="1" applyFont="1" applyBorder="1" applyAlignment="1">
      <alignment horizontal="right" vertical="center"/>
    </xf>
    <xf numFmtId="3" fontId="20" fillId="0" borderId="72" xfId="1" applyNumberFormat="1" applyFont="1" applyBorder="1" applyAlignment="1">
      <alignment horizontal="right" vertical="center"/>
    </xf>
    <xf numFmtId="3" fontId="11" fillId="0" borderId="78" xfId="1" applyNumberFormat="1" applyFont="1" applyBorder="1" applyAlignment="1">
      <alignment horizontal="right" vertical="center"/>
    </xf>
    <xf numFmtId="3" fontId="20" fillId="0" borderId="77" xfId="1" applyNumberFormat="1" applyFont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3" fontId="20" fillId="0" borderId="223" xfId="1" applyNumberFormat="1" applyFont="1" applyBorder="1" applyAlignment="1">
      <alignment horizontal="right" vertical="center"/>
    </xf>
    <xf numFmtId="3" fontId="11" fillId="0" borderId="76" xfId="1" applyNumberFormat="1" applyFont="1" applyFill="1" applyBorder="1" applyAlignment="1">
      <alignment horizontal="right" vertical="center"/>
    </xf>
    <xf numFmtId="3" fontId="11" fillId="0" borderId="8" xfId="1" applyNumberFormat="1" applyFont="1" applyFill="1" applyBorder="1" applyAlignment="1">
      <alignment horizontal="right" vertical="center"/>
    </xf>
    <xf numFmtId="3" fontId="11" fillId="0" borderId="31" xfId="1" applyNumberFormat="1" applyFont="1" applyFill="1" applyBorder="1" applyAlignment="1">
      <alignment horizontal="right" vertical="center"/>
    </xf>
    <xf numFmtId="3" fontId="11" fillId="0" borderId="25" xfId="1" applyNumberFormat="1" applyFont="1" applyFill="1" applyBorder="1" applyAlignment="1">
      <alignment horizontal="right" vertical="center"/>
    </xf>
    <xf numFmtId="0" fontId="11" fillId="0" borderId="40" xfId="1" applyFont="1" applyFill="1" applyBorder="1" applyAlignment="1">
      <alignment horizontal="right" vertical="center"/>
    </xf>
    <xf numFmtId="0" fontId="11" fillId="0" borderId="65" xfId="1" applyFont="1" applyFill="1" applyBorder="1" applyAlignment="1">
      <alignment horizontal="right" vertical="center"/>
    </xf>
    <xf numFmtId="0" fontId="20" fillId="0" borderId="50" xfId="1" applyFont="1" applyFill="1" applyBorder="1" applyAlignment="1">
      <alignment horizontal="center" vertical="center"/>
    </xf>
    <xf numFmtId="0" fontId="20" fillId="0" borderId="263" xfId="1" applyFont="1" applyFill="1" applyBorder="1" applyAlignment="1">
      <alignment horizontal="center" vertical="center"/>
    </xf>
    <xf numFmtId="3" fontId="20" fillId="0" borderId="49" xfId="1" applyNumberFormat="1" applyFont="1" applyFill="1" applyBorder="1" applyAlignment="1">
      <alignment horizontal="right" vertical="center"/>
    </xf>
    <xf numFmtId="3" fontId="20" fillId="0" borderId="50" xfId="1" applyNumberFormat="1" applyFont="1" applyFill="1" applyBorder="1" applyAlignment="1">
      <alignment horizontal="right" vertical="center" wrapText="1"/>
    </xf>
    <xf numFmtId="3" fontId="20" fillId="0" borderId="262" xfId="1" applyNumberFormat="1" applyFont="1" applyFill="1" applyBorder="1" applyAlignment="1">
      <alignment horizontal="right" vertical="center" wrapText="1"/>
    </xf>
    <xf numFmtId="0" fontId="20" fillId="0" borderId="260" xfId="1" applyFont="1" applyFill="1" applyBorder="1" applyAlignment="1">
      <alignment horizontal="right" vertical="center" wrapText="1"/>
    </xf>
    <xf numFmtId="0" fontId="20" fillId="0" borderId="80" xfId="1" applyFont="1" applyFill="1" applyBorder="1" applyAlignment="1">
      <alignment horizontal="right" vertical="center" wrapText="1"/>
    </xf>
    <xf numFmtId="0" fontId="11" fillId="2" borderId="50" xfId="1" applyFont="1" applyFill="1" applyBorder="1" applyAlignment="1">
      <alignment horizontal="center" vertical="center" wrapText="1"/>
    </xf>
    <xf numFmtId="0" fontId="11" fillId="2" borderId="262" xfId="1" applyFont="1" applyFill="1" applyBorder="1" applyAlignment="1">
      <alignment horizontal="center" vertical="center" wrapText="1"/>
    </xf>
    <xf numFmtId="0" fontId="11" fillId="2" borderId="260" xfId="1" applyFont="1" applyFill="1" applyBorder="1" applyAlignment="1">
      <alignment horizontal="center" vertical="center" wrapText="1"/>
    </xf>
    <xf numFmtId="3" fontId="11" fillId="2" borderId="12" xfId="1" applyNumberFormat="1" applyFont="1" applyFill="1" applyBorder="1" applyAlignment="1">
      <alignment horizontal="right" vertical="center"/>
    </xf>
    <xf numFmtId="0" fontId="11" fillId="4" borderId="6" xfId="1" applyFont="1" applyFill="1" applyBorder="1" applyAlignment="1">
      <alignment horizontal="center" vertical="center" wrapText="1"/>
    </xf>
    <xf numFmtId="0" fontId="20" fillId="0" borderId="7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49" fontId="50" fillId="0" borderId="59" xfId="1" applyNumberFormat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 wrapText="1"/>
    </xf>
    <xf numFmtId="0" fontId="7" fillId="6" borderId="18" xfId="1" applyFont="1" applyFill="1" applyBorder="1" applyAlignment="1">
      <alignment horizontal="left" vertical="center" wrapText="1"/>
    </xf>
    <xf numFmtId="0" fontId="12" fillId="0" borderId="19" xfId="4" applyFont="1" applyBorder="1" applyAlignment="1">
      <alignment horizontal="center" vertical="center"/>
    </xf>
    <xf numFmtId="0" fontId="12" fillId="0" borderId="14" xfId="4" applyFont="1" applyBorder="1" applyAlignment="1">
      <alignment horizontal="center" vertical="center"/>
    </xf>
    <xf numFmtId="3" fontId="20" fillId="0" borderId="19" xfId="1" applyNumberFormat="1" applyFont="1" applyFill="1" applyBorder="1" applyAlignment="1">
      <alignment horizontal="right" vertical="center" wrapText="1"/>
    </xf>
    <xf numFmtId="49" fontId="11" fillId="3" borderId="4" xfId="1" applyNumberFormat="1" applyFont="1" applyFill="1" applyBorder="1" applyAlignment="1">
      <alignment horizontal="center" vertical="center"/>
    </xf>
    <xf numFmtId="49" fontId="11" fillId="0" borderId="17" xfId="1" applyNumberFormat="1" applyFont="1" applyBorder="1" applyAlignment="1">
      <alignment horizontal="center" vertical="center"/>
    </xf>
    <xf numFmtId="3" fontId="20" fillId="0" borderId="261" xfId="1" applyNumberFormat="1" applyFont="1" applyBorder="1" applyAlignment="1">
      <alignment horizontal="right" vertical="center"/>
    </xf>
    <xf numFmtId="3" fontId="20" fillId="0" borderId="264" xfId="1" applyNumberFormat="1" applyFont="1" applyBorder="1" applyAlignment="1">
      <alignment horizontal="right" vertical="center"/>
    </xf>
    <xf numFmtId="3" fontId="20" fillId="0" borderId="224" xfId="1" applyNumberFormat="1" applyFont="1" applyBorder="1" applyAlignment="1">
      <alignment horizontal="center" vertical="center" wrapText="1"/>
    </xf>
    <xf numFmtId="0" fontId="20" fillId="0" borderId="224" xfId="1" applyFont="1" applyBorder="1" applyAlignment="1">
      <alignment horizontal="left" vertical="center" wrapText="1"/>
    </xf>
    <xf numFmtId="3" fontId="20" fillId="0" borderId="266" xfId="1" applyNumberFormat="1" applyFont="1" applyBorder="1" applyAlignment="1">
      <alignment horizontal="right" vertical="center"/>
    </xf>
    <xf numFmtId="3" fontId="20" fillId="0" borderId="225" xfId="1" applyNumberFormat="1" applyFont="1" applyBorder="1" applyAlignment="1">
      <alignment horizontal="right" vertical="center"/>
    </xf>
    <xf numFmtId="3" fontId="20" fillId="0" borderId="223" xfId="1" applyNumberFormat="1" applyFont="1" applyBorder="1" applyAlignment="1">
      <alignment horizontal="center" vertical="center" wrapText="1"/>
    </xf>
    <xf numFmtId="0" fontId="20" fillId="0" borderId="223" xfId="1" applyFont="1" applyBorder="1" applyAlignment="1">
      <alignment horizontal="left" vertical="center" wrapText="1"/>
    </xf>
    <xf numFmtId="3" fontId="20" fillId="0" borderId="262" xfId="1" applyNumberFormat="1" applyFont="1" applyBorder="1" applyAlignment="1">
      <alignment horizontal="right" vertical="center"/>
    </xf>
    <xf numFmtId="3" fontId="20" fillId="0" borderId="263" xfId="1" applyNumberFormat="1" applyFont="1" applyBorder="1" applyAlignment="1">
      <alignment horizontal="right" vertical="center"/>
    </xf>
    <xf numFmtId="3" fontId="20" fillId="0" borderId="7" xfId="1" applyNumberFormat="1" applyFont="1" applyBorder="1" applyAlignment="1">
      <alignment horizontal="center" vertical="center" wrapText="1"/>
    </xf>
    <xf numFmtId="0" fontId="20" fillId="0" borderId="269" xfId="1" applyNumberFormat="1" applyFont="1" applyBorder="1" applyAlignment="1">
      <alignment horizontal="center" vertical="center"/>
    </xf>
    <xf numFmtId="3" fontId="20" fillId="6" borderId="270" xfId="1" applyNumberFormat="1" applyFont="1" applyFill="1" applyBorder="1" applyAlignment="1">
      <alignment horizontal="right" vertical="center"/>
    </xf>
    <xf numFmtId="0" fontId="7" fillId="6" borderId="273" xfId="1" applyNumberFormat="1" applyFont="1" applyFill="1" applyBorder="1" applyAlignment="1">
      <alignment horizontal="center" vertical="center"/>
    </xf>
    <xf numFmtId="3" fontId="7" fillId="6" borderId="274" xfId="1" applyNumberFormat="1" applyFont="1" applyFill="1" applyBorder="1" applyAlignment="1">
      <alignment horizontal="right" vertical="center" wrapText="1"/>
    </xf>
    <xf numFmtId="3" fontId="7" fillId="6" borderId="275" xfId="1" applyNumberFormat="1" applyFont="1" applyFill="1" applyBorder="1" applyAlignment="1">
      <alignment horizontal="right" vertical="center" wrapText="1"/>
    </xf>
    <xf numFmtId="3" fontId="7" fillId="6" borderId="272" xfId="1" applyNumberFormat="1" applyFont="1" applyFill="1" applyBorder="1" applyAlignment="1">
      <alignment horizontal="left" vertical="center" wrapText="1"/>
    </xf>
    <xf numFmtId="0" fontId="12" fillId="0" borderId="9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left" vertical="center" wrapText="1"/>
    </xf>
    <xf numFmtId="0" fontId="12" fillId="0" borderId="4" xfId="4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0" fontId="7" fillId="0" borderId="24" xfId="1" applyNumberFormat="1" applyFont="1" applyBorder="1" applyAlignment="1">
      <alignment horizontal="center" vertical="center"/>
    </xf>
    <xf numFmtId="3" fontId="7" fillId="6" borderId="281" xfId="1" applyNumberFormat="1" applyFont="1" applyFill="1" applyBorder="1" applyAlignment="1">
      <alignment horizontal="right" vertical="center"/>
    </xf>
    <xf numFmtId="3" fontId="7" fillId="6" borderId="282" xfId="1" applyNumberFormat="1" applyFont="1" applyFill="1" applyBorder="1" applyAlignment="1">
      <alignment horizontal="right" vertical="center"/>
    </xf>
    <xf numFmtId="0" fontId="7" fillId="6" borderId="4" xfId="1" applyFont="1" applyFill="1" applyBorder="1" applyAlignment="1">
      <alignment horizontal="left" vertical="center" wrapText="1"/>
    </xf>
    <xf numFmtId="3" fontId="7" fillId="6" borderId="25" xfId="4" applyNumberFormat="1" applyFont="1" applyFill="1" applyBorder="1" applyAlignment="1">
      <alignment horizontal="right" vertical="center"/>
    </xf>
    <xf numFmtId="3" fontId="7" fillId="6" borderId="30" xfId="4" applyNumberFormat="1" applyFont="1" applyFill="1" applyBorder="1" applyAlignment="1">
      <alignment horizontal="right" vertical="center"/>
    </xf>
    <xf numFmtId="0" fontId="7" fillId="6" borderId="8" xfId="4" applyFont="1" applyFill="1" applyBorder="1" applyAlignment="1">
      <alignment vertical="center" wrapText="1"/>
    </xf>
    <xf numFmtId="0" fontId="7" fillId="0" borderId="276" xfId="1" applyNumberFormat="1" applyFont="1" applyBorder="1" applyAlignment="1">
      <alignment horizontal="center" vertical="center"/>
    </xf>
    <xf numFmtId="3" fontId="7" fillId="6" borderId="277" xfId="1" applyNumberFormat="1" applyFont="1" applyFill="1" applyBorder="1" applyAlignment="1">
      <alignment horizontal="right" vertical="center"/>
    </xf>
    <xf numFmtId="3" fontId="7" fillId="6" borderId="278" xfId="1" applyNumberFormat="1" applyFont="1" applyFill="1" applyBorder="1" applyAlignment="1">
      <alignment horizontal="right" vertical="center"/>
    </xf>
    <xf numFmtId="0" fontId="7" fillId="0" borderId="38" xfId="4" applyNumberFormat="1" applyFont="1" applyBorder="1" applyAlignment="1">
      <alignment horizontal="center" vertical="center"/>
    </xf>
    <xf numFmtId="0" fontId="7" fillId="0" borderId="283" xfId="1" applyNumberFormat="1" applyFont="1" applyBorder="1" applyAlignment="1">
      <alignment horizontal="center" vertical="center"/>
    </xf>
    <xf numFmtId="3" fontId="12" fillId="0" borderId="279" xfId="4" applyNumberFormat="1" applyFont="1" applyBorder="1" applyAlignment="1">
      <alignment horizontal="right" vertical="center"/>
    </xf>
    <xf numFmtId="0" fontId="7" fillId="0" borderId="284" xfId="4" applyNumberFormat="1" applyFont="1" applyBorder="1" applyAlignment="1">
      <alignment horizontal="center" vertical="center"/>
    </xf>
    <xf numFmtId="3" fontId="7" fillId="6" borderId="279" xfId="1" applyNumberFormat="1" applyFont="1" applyFill="1" applyBorder="1" applyAlignment="1">
      <alignment horizontal="left" vertical="center" wrapText="1"/>
    </xf>
    <xf numFmtId="3" fontId="38" fillId="6" borderId="30" xfId="4" applyNumberFormat="1" applyFont="1" applyFill="1" applyBorder="1" applyAlignment="1">
      <alignment horizontal="right" vertical="center"/>
    </xf>
    <xf numFmtId="3" fontId="7" fillId="6" borderId="285" xfId="4" applyNumberFormat="1" applyFont="1" applyFill="1" applyBorder="1" applyAlignment="1">
      <alignment horizontal="right" vertical="center"/>
    </xf>
    <xf numFmtId="3" fontId="7" fillId="6" borderId="286" xfId="4" applyNumberFormat="1" applyFont="1" applyFill="1" applyBorder="1" applyAlignment="1">
      <alignment horizontal="right" vertical="center"/>
    </xf>
    <xf numFmtId="0" fontId="7" fillId="6" borderId="279" xfId="4" applyFont="1" applyFill="1" applyBorder="1" applyAlignment="1">
      <alignment vertical="center" wrapText="1"/>
    </xf>
    <xf numFmtId="0" fontId="12" fillId="0" borderId="9" xfId="4" applyFont="1" applyBorder="1" applyAlignment="1">
      <alignment horizontal="center" vertical="center"/>
    </xf>
    <xf numFmtId="0" fontId="7" fillId="0" borderId="4" xfId="4" applyFont="1" applyBorder="1" applyAlignment="1">
      <alignment horizontal="left" vertical="center" wrapText="1"/>
    </xf>
    <xf numFmtId="3" fontId="12" fillId="0" borderId="4" xfId="4" applyNumberFormat="1" applyFont="1" applyBorder="1" applyAlignment="1">
      <alignment horizontal="right" vertical="center"/>
    </xf>
    <xf numFmtId="0" fontId="7" fillId="0" borderId="24" xfId="4" applyNumberFormat="1" applyFont="1" applyBorder="1" applyAlignment="1">
      <alignment horizontal="center" vertical="center"/>
    </xf>
    <xf numFmtId="3" fontId="7" fillId="6" borderId="281" xfId="4" applyNumberFormat="1" applyFont="1" applyFill="1" applyBorder="1" applyAlignment="1">
      <alignment horizontal="right" vertical="center"/>
    </xf>
    <xf numFmtId="3" fontId="38" fillId="6" borderId="282" xfId="4" applyNumberFormat="1" applyFont="1" applyFill="1" applyBorder="1" applyAlignment="1">
      <alignment horizontal="right" vertical="center"/>
    </xf>
    <xf numFmtId="0" fontId="7" fillId="6" borderId="4" xfId="4" applyFont="1" applyFill="1" applyBorder="1" applyAlignment="1">
      <alignment vertical="center" wrapText="1"/>
    </xf>
    <xf numFmtId="0" fontId="12" fillId="0" borderId="11" xfId="4" applyFont="1" applyBorder="1" applyAlignment="1">
      <alignment horizontal="center" vertical="center"/>
    </xf>
    <xf numFmtId="0" fontId="52" fillId="6" borderId="19" xfId="0" applyFont="1" applyFill="1" applyBorder="1" applyAlignment="1">
      <alignment horizontal="left" vertical="center" wrapText="1"/>
    </xf>
    <xf numFmtId="3" fontId="12" fillId="0" borderId="19" xfId="4" applyNumberFormat="1" applyFont="1" applyBorder="1" applyAlignment="1">
      <alignment horizontal="right" vertical="center"/>
    </xf>
    <xf numFmtId="0" fontId="7" fillId="0" borderId="187" xfId="4" applyNumberFormat="1" applyFont="1" applyBorder="1" applyAlignment="1">
      <alignment horizontal="center" vertical="center"/>
    </xf>
    <xf numFmtId="3" fontId="7" fillId="6" borderId="287" xfId="4" applyNumberFormat="1" applyFont="1" applyFill="1" applyBorder="1" applyAlignment="1">
      <alignment vertical="center"/>
    </xf>
    <xf numFmtId="3" fontId="7" fillId="6" borderId="188" xfId="4" applyNumberFormat="1" applyFont="1" applyFill="1" applyBorder="1" applyAlignment="1">
      <alignment vertical="center"/>
    </xf>
    <xf numFmtId="3" fontId="7" fillId="6" borderId="19" xfId="1" applyNumberFormat="1" applyFont="1" applyFill="1" applyBorder="1" applyAlignment="1">
      <alignment horizontal="left" vertical="center" wrapText="1"/>
    </xf>
    <xf numFmtId="0" fontId="52" fillId="6" borderId="4" xfId="0" applyFont="1" applyFill="1" applyBorder="1" applyAlignment="1">
      <alignment horizontal="left" vertical="center" wrapText="1"/>
    </xf>
    <xf numFmtId="3" fontId="7" fillId="6" borderId="281" xfId="4" applyNumberFormat="1" applyFont="1" applyFill="1" applyBorder="1" applyAlignment="1">
      <alignment vertical="center"/>
    </xf>
    <xf numFmtId="3" fontId="7" fillId="6" borderId="282" xfId="4" applyNumberFormat="1" applyFont="1" applyFill="1" applyBorder="1" applyAlignment="1">
      <alignment vertical="center"/>
    </xf>
    <xf numFmtId="3" fontId="7" fillId="6" borderId="4" xfId="1" applyNumberFormat="1" applyFont="1" applyFill="1" applyBorder="1" applyAlignment="1">
      <alignment horizontal="left" vertical="center" wrapText="1"/>
    </xf>
    <xf numFmtId="0" fontId="12" fillId="6" borderId="6" xfId="1" applyFont="1" applyFill="1" applyBorder="1" applyAlignment="1">
      <alignment horizontal="center" vertical="center"/>
    </xf>
    <xf numFmtId="3" fontId="52" fillId="6" borderId="17" xfId="0" applyNumberFormat="1" applyFont="1" applyFill="1" applyBorder="1" applyAlignment="1">
      <alignment horizontal="left" vertical="center" wrapText="1"/>
    </xf>
    <xf numFmtId="0" fontId="7" fillId="6" borderId="1" xfId="1" applyNumberFormat="1" applyFont="1" applyFill="1" applyBorder="1" applyAlignment="1">
      <alignment horizontal="center" vertical="center"/>
    </xf>
    <xf numFmtId="3" fontId="7" fillId="6" borderId="267" xfId="1" applyNumberFormat="1" applyFont="1" applyFill="1" applyBorder="1" applyAlignment="1">
      <alignment horizontal="right" vertical="center" wrapText="1"/>
    </xf>
    <xf numFmtId="3" fontId="7" fillId="6" borderId="60" xfId="1" applyNumberFormat="1" applyFont="1" applyFill="1" applyBorder="1" applyAlignment="1">
      <alignment horizontal="right" vertical="center" wrapText="1"/>
    </xf>
    <xf numFmtId="3" fontId="7" fillId="6" borderId="17" xfId="1" applyNumberFormat="1" applyFont="1" applyFill="1" applyBorder="1" applyAlignment="1">
      <alignment horizontal="left" vertical="center" wrapText="1"/>
    </xf>
    <xf numFmtId="0" fontId="12" fillId="6" borderId="9" xfId="1" applyFont="1" applyFill="1" applyBorder="1" applyAlignment="1">
      <alignment horizontal="center" vertical="center"/>
    </xf>
    <xf numFmtId="3" fontId="52" fillId="6" borderId="4" xfId="0" applyNumberFormat="1" applyFont="1" applyFill="1" applyBorder="1" applyAlignment="1">
      <alignment horizontal="left" vertical="center" wrapText="1"/>
    </xf>
    <xf numFmtId="0" fontId="7" fillId="6" borderId="29" xfId="1" applyNumberFormat="1" applyFont="1" applyFill="1" applyBorder="1" applyAlignment="1">
      <alignment horizontal="center" vertical="center"/>
    </xf>
    <xf numFmtId="3" fontId="7" fillId="6" borderId="281" xfId="1" applyNumberFormat="1" applyFont="1" applyFill="1" applyBorder="1" applyAlignment="1">
      <alignment horizontal="right" vertical="center" wrapText="1"/>
    </xf>
    <xf numFmtId="3" fontId="7" fillId="6" borderId="282" xfId="1" applyNumberFormat="1" applyFont="1" applyFill="1" applyBorder="1" applyAlignment="1">
      <alignment horizontal="right" vertical="center" wrapText="1"/>
    </xf>
    <xf numFmtId="0" fontId="12" fillId="6" borderId="280" xfId="1" applyFont="1" applyFill="1" applyBorder="1" applyAlignment="1">
      <alignment horizontal="center" vertical="center"/>
    </xf>
    <xf numFmtId="0" fontId="7" fillId="6" borderId="284" xfId="1" applyNumberFormat="1" applyFont="1" applyFill="1" applyBorder="1" applyAlignment="1">
      <alignment horizontal="center" vertical="center"/>
    </xf>
    <xf numFmtId="3" fontId="7" fillId="6" borderId="285" xfId="1" applyNumberFormat="1" applyFont="1" applyFill="1" applyBorder="1" applyAlignment="1">
      <alignment horizontal="right" vertical="center" wrapText="1"/>
    </xf>
    <xf numFmtId="3" fontId="7" fillId="6" borderId="286" xfId="1" applyNumberFormat="1" applyFont="1" applyFill="1" applyBorder="1" applyAlignment="1">
      <alignment horizontal="right" vertical="center" wrapText="1"/>
    </xf>
    <xf numFmtId="0" fontId="7" fillId="6" borderId="279" xfId="1" applyFont="1" applyFill="1" applyBorder="1" applyAlignment="1">
      <alignment horizontal="left" vertical="center" wrapText="1"/>
    </xf>
    <xf numFmtId="3" fontId="51" fillId="6" borderId="286" xfId="0" applyNumberFormat="1" applyFont="1" applyFill="1" applyBorder="1" applyAlignment="1">
      <alignment vertical="center"/>
    </xf>
    <xf numFmtId="0" fontId="5" fillId="0" borderId="4" xfId="1" applyFont="1" applyBorder="1" applyAlignment="1">
      <alignment horizontal="left" vertical="center" wrapText="1"/>
    </xf>
    <xf numFmtId="0" fontId="12" fillId="6" borderId="69" xfId="1" applyFont="1" applyFill="1" applyBorder="1" applyAlignment="1">
      <alignment horizontal="center" vertical="center"/>
    </xf>
    <xf numFmtId="0" fontId="7" fillId="6" borderId="14" xfId="1" applyFont="1" applyFill="1" applyBorder="1" applyAlignment="1">
      <alignment horizontal="left" vertical="center" wrapText="1"/>
    </xf>
    <xf numFmtId="3" fontId="12" fillId="0" borderId="14" xfId="4" applyNumberFormat="1" applyFont="1" applyBorder="1" applyAlignment="1">
      <alignment vertical="center"/>
    </xf>
    <xf numFmtId="0" fontId="7" fillId="6" borderId="268" xfId="1" applyNumberFormat="1" applyFont="1" applyFill="1" applyBorder="1" applyAlignment="1">
      <alignment horizontal="center" vertical="center"/>
    </xf>
    <xf numFmtId="3" fontId="7" fillId="6" borderId="48" xfId="1" applyNumberFormat="1" applyFont="1" applyFill="1" applyBorder="1" applyAlignment="1">
      <alignment horizontal="right" vertical="center" wrapText="1"/>
    </xf>
    <xf numFmtId="3" fontId="51" fillId="6" borderId="288" xfId="0" applyNumberFormat="1" applyFont="1" applyFill="1" applyBorder="1" applyAlignment="1">
      <alignment vertical="center"/>
    </xf>
    <xf numFmtId="3" fontId="7" fillId="6" borderId="14" xfId="1" applyNumberFormat="1" applyFont="1" applyFill="1" applyBorder="1" applyAlignment="1">
      <alignment horizontal="left" vertical="center" wrapText="1"/>
    </xf>
    <xf numFmtId="0" fontId="35" fillId="6" borderId="9" xfId="1" applyFont="1" applyFill="1" applyBorder="1" applyAlignment="1">
      <alignment horizontal="center" vertical="center"/>
    </xf>
    <xf numFmtId="0" fontId="31" fillId="6" borderId="4" xfId="1" applyFont="1" applyFill="1" applyBorder="1" applyAlignment="1">
      <alignment horizontal="left" vertical="center" wrapText="1"/>
    </xf>
    <xf numFmtId="49" fontId="35" fillId="6" borderId="4" xfId="1" applyNumberFormat="1" applyFont="1" applyFill="1" applyBorder="1" applyAlignment="1">
      <alignment horizontal="center" vertical="center"/>
    </xf>
    <xf numFmtId="3" fontId="35" fillId="6" borderId="4" xfId="1" applyNumberFormat="1" applyFont="1" applyFill="1" applyBorder="1" applyAlignment="1">
      <alignment horizontal="right" vertical="center"/>
    </xf>
    <xf numFmtId="0" fontId="31" fillId="6" borderId="24" xfId="1" applyNumberFormat="1" applyFont="1" applyFill="1" applyBorder="1" applyAlignment="1">
      <alignment horizontal="center" vertical="center"/>
    </xf>
    <xf numFmtId="3" fontId="31" fillId="6" borderId="281" xfId="1" applyNumberFormat="1" applyFont="1" applyFill="1" applyBorder="1" applyAlignment="1">
      <alignment horizontal="right" vertical="center" wrapText="1"/>
    </xf>
    <xf numFmtId="3" fontId="31" fillId="6" borderId="282" xfId="1" applyNumberFormat="1" applyFont="1" applyFill="1" applyBorder="1" applyAlignment="1">
      <alignment horizontal="right" vertical="center" wrapText="1"/>
    </xf>
    <xf numFmtId="3" fontId="31" fillId="6" borderId="4" xfId="1" applyNumberFormat="1" applyFont="1" applyFill="1" applyBorder="1" applyAlignment="1">
      <alignment horizontal="left" vertical="center" wrapText="1"/>
    </xf>
    <xf numFmtId="0" fontId="35" fillId="6" borderId="6" xfId="1" applyFont="1" applyFill="1" applyBorder="1" applyAlignment="1">
      <alignment horizontal="center" vertical="center"/>
    </xf>
    <xf numFmtId="0" fontId="31" fillId="6" borderId="17" xfId="1" applyFont="1" applyFill="1" applyBorder="1" applyAlignment="1">
      <alignment horizontal="left" vertical="center" wrapText="1"/>
    </xf>
    <xf numFmtId="49" fontId="35" fillId="6" borderId="17" xfId="1" applyNumberFormat="1" applyFont="1" applyFill="1" applyBorder="1" applyAlignment="1">
      <alignment horizontal="center" vertical="center"/>
    </xf>
    <xf numFmtId="3" fontId="35" fillId="6" borderId="17" xfId="1" applyNumberFormat="1" applyFont="1" applyFill="1" applyBorder="1" applyAlignment="1">
      <alignment horizontal="right" vertical="center"/>
    </xf>
    <xf numFmtId="0" fontId="31" fillId="6" borderId="1" xfId="1" applyNumberFormat="1" applyFont="1" applyFill="1" applyBorder="1" applyAlignment="1">
      <alignment horizontal="center" vertical="center"/>
    </xf>
    <xf numFmtId="3" fontId="31" fillId="6" borderId="267" xfId="1" applyNumberFormat="1" applyFont="1" applyFill="1" applyBorder="1" applyAlignment="1">
      <alignment horizontal="right" vertical="center" wrapText="1"/>
    </xf>
    <xf numFmtId="3" fontId="31" fillId="6" borderId="60" xfId="1" applyNumberFormat="1" applyFont="1" applyFill="1" applyBorder="1" applyAlignment="1">
      <alignment horizontal="right" vertical="center" wrapText="1"/>
    </xf>
    <xf numFmtId="3" fontId="31" fillId="6" borderId="17" xfId="1" applyNumberFormat="1" applyFont="1" applyFill="1" applyBorder="1" applyAlignment="1">
      <alignment horizontal="left" vertical="center" wrapText="1"/>
    </xf>
    <xf numFmtId="0" fontId="7" fillId="0" borderId="284" xfId="1" applyNumberFormat="1" applyFont="1" applyBorder="1" applyAlignment="1">
      <alignment horizontal="center" vertical="center"/>
    </xf>
    <xf numFmtId="3" fontId="7" fillId="6" borderId="285" xfId="1" applyNumberFormat="1" applyFont="1" applyFill="1" applyBorder="1" applyAlignment="1">
      <alignment horizontal="right" vertical="center"/>
    </xf>
    <xf numFmtId="3" fontId="7" fillId="6" borderId="286" xfId="1" applyNumberFormat="1" applyFont="1" applyFill="1" applyBorder="1" applyAlignment="1">
      <alignment horizontal="right" vertical="center"/>
    </xf>
    <xf numFmtId="0" fontId="7" fillId="0" borderId="279" xfId="1" applyFont="1" applyBorder="1" applyAlignment="1">
      <alignment horizontal="left" vertical="center" wrapText="1"/>
    </xf>
    <xf numFmtId="0" fontId="7" fillId="0" borderId="38" xfId="1" applyNumberFormat="1" applyFont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5" fillId="0" borderId="17" xfId="1" applyFont="1" applyBorder="1" applyAlignment="1">
      <alignment horizontal="left" vertical="center" wrapText="1"/>
    </xf>
    <xf numFmtId="0" fontId="7" fillId="0" borderId="1" xfId="1" applyNumberFormat="1" applyFont="1" applyBorder="1" applyAlignment="1">
      <alignment horizontal="center" vertical="center"/>
    </xf>
    <xf numFmtId="3" fontId="7" fillId="6" borderId="267" xfId="1" applyNumberFormat="1" applyFont="1" applyFill="1" applyBorder="1" applyAlignment="1">
      <alignment horizontal="right" vertical="center"/>
    </xf>
    <xf numFmtId="3" fontId="7" fillId="6" borderId="60" xfId="1" applyNumberFormat="1" applyFont="1" applyFill="1" applyBorder="1" applyAlignment="1">
      <alignment horizontal="right" vertical="center"/>
    </xf>
    <xf numFmtId="0" fontId="7" fillId="0" borderId="17" xfId="1" applyFont="1" applyBorder="1" applyAlignment="1">
      <alignment horizontal="left" vertical="center" wrapText="1"/>
    </xf>
    <xf numFmtId="0" fontId="36" fillId="3" borderId="14" xfId="1" applyNumberFormat="1" applyFont="1" applyFill="1" applyBorder="1" applyAlignment="1">
      <alignment horizontal="center" vertical="center"/>
    </xf>
    <xf numFmtId="3" fontId="33" fillId="3" borderId="70" xfId="1" applyNumberFormat="1" applyFont="1" applyFill="1" applyBorder="1" applyAlignment="1">
      <alignment horizontal="right" vertical="center"/>
    </xf>
    <xf numFmtId="3" fontId="33" fillId="3" borderId="288" xfId="1" applyNumberFormat="1" applyFont="1" applyFill="1" applyBorder="1" applyAlignment="1">
      <alignment horizontal="right" vertical="center"/>
    </xf>
    <xf numFmtId="0" fontId="36" fillId="3" borderId="14" xfId="1" applyFont="1" applyFill="1" applyBorder="1"/>
    <xf numFmtId="0" fontId="7" fillId="0" borderId="29" xfId="1" applyNumberFormat="1" applyFont="1" applyBorder="1" applyAlignment="1">
      <alignment horizontal="center" vertical="center"/>
    </xf>
    <xf numFmtId="0" fontId="7" fillId="0" borderId="11" xfId="1" applyNumberFormat="1" applyFont="1" applyBorder="1" applyAlignment="1">
      <alignment horizontal="center" vertical="center"/>
    </xf>
    <xf numFmtId="3" fontId="7" fillId="6" borderId="287" xfId="1" applyNumberFormat="1" applyFont="1" applyFill="1" applyBorder="1" applyAlignment="1">
      <alignment horizontal="right" vertical="center"/>
    </xf>
    <xf numFmtId="3" fontId="7" fillId="6" borderId="188" xfId="1" applyNumberFormat="1" applyFont="1" applyFill="1" applyBorder="1" applyAlignment="1">
      <alignment horizontal="right" vertical="center"/>
    </xf>
    <xf numFmtId="0" fontId="5" fillId="0" borderId="19" xfId="1" applyFont="1" applyBorder="1" applyAlignment="1">
      <alignment vertical="center" wrapText="1"/>
    </xf>
    <xf numFmtId="49" fontId="20" fillId="0" borderId="4" xfId="1" applyNumberFormat="1" applyFont="1" applyFill="1" applyBorder="1" applyAlignment="1">
      <alignment horizontal="center" vertical="center" wrapText="1"/>
    </xf>
    <xf numFmtId="49" fontId="55" fillId="12" borderId="59" xfId="1" applyNumberFormat="1" applyFont="1" applyFill="1" applyBorder="1" applyAlignment="1">
      <alignment horizontal="center" vertical="center" wrapText="1"/>
    </xf>
    <xf numFmtId="3" fontId="59" fillId="12" borderId="59" xfId="1" applyNumberFormat="1" applyFont="1" applyFill="1" applyBorder="1" applyAlignment="1">
      <alignment vertical="center"/>
    </xf>
    <xf numFmtId="3" fontId="59" fillId="12" borderId="246" xfId="1" applyNumberFormat="1" applyFont="1" applyFill="1" applyBorder="1" applyAlignment="1">
      <alignment vertical="center"/>
    </xf>
    <xf numFmtId="49" fontId="55" fillId="12" borderId="274" xfId="1" applyNumberFormat="1" applyFont="1" applyFill="1" applyBorder="1" applyAlignment="1">
      <alignment horizontal="center" vertical="center" wrapText="1"/>
    </xf>
    <xf numFmtId="3" fontId="59" fillId="12" borderId="274" xfId="1" applyNumberFormat="1" applyFont="1" applyFill="1" applyBorder="1" applyAlignment="1">
      <alignment vertical="center"/>
    </xf>
    <xf numFmtId="3" fontId="59" fillId="12" borderId="290" xfId="1" applyNumberFormat="1" applyFont="1" applyFill="1" applyBorder="1" applyAlignment="1">
      <alignment vertical="center"/>
    </xf>
    <xf numFmtId="49" fontId="61" fillId="13" borderId="274" xfId="1" applyNumberFormat="1" applyFont="1" applyFill="1" applyBorder="1" applyAlignment="1">
      <alignment horizontal="center" vertical="center" wrapText="1"/>
    </xf>
    <xf numFmtId="3" fontId="62" fillId="13" borderId="274" xfId="1" applyNumberFormat="1" applyFont="1" applyFill="1" applyBorder="1" applyAlignment="1">
      <alignment vertical="center"/>
    </xf>
    <xf numFmtId="3" fontId="62" fillId="13" borderId="290" xfId="1" applyNumberFormat="1" applyFont="1" applyFill="1" applyBorder="1" applyAlignment="1">
      <alignment vertical="center"/>
    </xf>
    <xf numFmtId="49" fontId="14" fillId="0" borderId="274" xfId="1" applyNumberFormat="1" applyFont="1" applyFill="1" applyBorder="1" applyAlignment="1">
      <alignment horizontal="center" vertical="center" wrapText="1"/>
    </xf>
    <xf numFmtId="3" fontId="13" fillId="0" borderId="274" xfId="1" applyNumberFormat="1" applyFont="1" applyFill="1" applyBorder="1" applyAlignment="1">
      <alignment vertical="center"/>
    </xf>
    <xf numFmtId="3" fontId="13" fillId="0" borderId="290" xfId="1" applyNumberFormat="1" applyFont="1" applyFill="1" applyBorder="1" applyAlignment="1">
      <alignment vertical="center"/>
    </xf>
    <xf numFmtId="49" fontId="50" fillId="0" borderId="274" xfId="1" applyNumberFormat="1" applyFont="1" applyFill="1" applyBorder="1" applyAlignment="1">
      <alignment horizontal="center" vertical="center"/>
    </xf>
    <xf numFmtId="3" fontId="50" fillId="0" borderId="274" xfId="1" applyNumberFormat="1" applyFont="1" applyFill="1" applyBorder="1" applyAlignment="1">
      <alignment vertical="center"/>
    </xf>
    <xf numFmtId="3" fontId="50" fillId="0" borderId="290" xfId="1" applyNumberFormat="1" applyFont="1" applyFill="1" applyBorder="1" applyAlignment="1">
      <alignment vertical="center"/>
    </xf>
    <xf numFmtId="49" fontId="61" fillId="13" borderId="274" xfId="1" applyNumberFormat="1" applyFont="1" applyFill="1" applyBorder="1" applyAlignment="1">
      <alignment horizontal="center" vertical="center"/>
    </xf>
    <xf numFmtId="0" fontId="50" fillId="0" borderId="277" xfId="1" applyFont="1" applyBorder="1" applyAlignment="1">
      <alignment horizontal="center" vertical="center"/>
    </xf>
    <xf numFmtId="3" fontId="50" fillId="0" borderId="277" xfId="1" applyNumberFormat="1" applyFont="1" applyFill="1" applyBorder="1" applyAlignment="1">
      <alignment vertical="center"/>
    </xf>
    <xf numFmtId="0" fontId="50" fillId="0" borderId="285" xfId="1" applyFont="1" applyBorder="1" applyAlignment="1">
      <alignment horizontal="center" vertical="center"/>
    </xf>
    <xf numFmtId="3" fontId="50" fillId="0" borderId="285" xfId="1" applyNumberFormat="1" applyFont="1" applyFill="1" applyBorder="1" applyAlignment="1">
      <alignment vertical="center"/>
    </xf>
    <xf numFmtId="3" fontId="50" fillId="0" borderId="292" xfId="1" applyNumberFormat="1" applyFont="1" applyFill="1" applyBorder="1" applyAlignment="1">
      <alignment vertical="center"/>
    </xf>
    <xf numFmtId="49" fontId="55" fillId="12" borderId="25" xfId="1" applyNumberFormat="1" applyFont="1" applyFill="1" applyBorder="1" applyAlignment="1">
      <alignment horizontal="center" vertical="center" wrapText="1"/>
    </xf>
    <xf numFmtId="3" fontId="59" fillId="12" borderId="25" xfId="1" applyNumberFormat="1" applyFont="1" applyFill="1" applyBorder="1" applyAlignment="1">
      <alignment vertical="center"/>
    </xf>
    <xf numFmtId="3" fontId="59" fillId="12" borderId="40" xfId="1" applyNumberFormat="1" applyFont="1" applyFill="1" applyBorder="1" applyAlignment="1">
      <alignment vertical="center"/>
    </xf>
    <xf numFmtId="49" fontId="61" fillId="13" borderId="277" xfId="1" applyNumberFormat="1" applyFont="1" applyFill="1" applyBorder="1" applyAlignment="1">
      <alignment horizontal="center" vertical="center"/>
    </xf>
    <xf numFmtId="3" fontId="62" fillId="13" borderId="277" xfId="1" applyNumberFormat="1" applyFont="1" applyFill="1" applyBorder="1" applyAlignment="1">
      <alignment vertical="center"/>
    </xf>
    <xf numFmtId="3" fontId="62" fillId="13" borderId="44" xfId="1" applyNumberFormat="1" applyFont="1" applyFill="1" applyBorder="1" applyAlignment="1">
      <alignment vertical="center"/>
    </xf>
    <xf numFmtId="0" fontId="63" fillId="0" borderId="267" xfId="1" applyFont="1" applyFill="1" applyBorder="1" applyAlignment="1">
      <alignment vertical="center" wrapText="1"/>
    </xf>
    <xf numFmtId="0" fontId="63" fillId="0" borderId="267" xfId="1" applyFont="1" applyFill="1" applyBorder="1" applyAlignment="1">
      <alignment vertical="center"/>
    </xf>
    <xf numFmtId="49" fontId="63" fillId="0" borderId="267" xfId="1" applyNumberFormat="1" applyFont="1" applyFill="1" applyBorder="1" applyAlignment="1">
      <alignment vertical="center"/>
    </xf>
    <xf numFmtId="49" fontId="63" fillId="0" borderId="267" xfId="1" applyNumberFormat="1" applyFont="1" applyFill="1" applyBorder="1" applyAlignment="1">
      <alignment horizontal="center" vertical="center"/>
    </xf>
    <xf numFmtId="3" fontId="63" fillId="0" borderId="267" xfId="1" applyNumberFormat="1" applyFont="1" applyFill="1" applyBorder="1" applyAlignment="1">
      <alignment vertical="center"/>
    </xf>
    <xf numFmtId="3" fontId="63" fillId="0" borderId="82" xfId="1" applyNumberFormat="1" applyFont="1" applyFill="1" applyBorder="1" applyAlignment="1">
      <alignment vertical="center"/>
    </xf>
    <xf numFmtId="3" fontId="50" fillId="0" borderId="44" xfId="1" applyNumberFormat="1" applyFont="1" applyFill="1" applyBorder="1" applyAlignment="1">
      <alignment vertical="center"/>
    </xf>
    <xf numFmtId="49" fontId="50" fillId="0" borderId="277" xfId="1" applyNumberFormat="1" applyFont="1" applyFill="1" applyBorder="1" applyAlignment="1">
      <alignment horizontal="center" vertical="center"/>
    </xf>
    <xf numFmtId="0" fontId="50" fillId="0" borderId="274" xfId="1" applyFont="1" applyBorder="1" applyAlignment="1">
      <alignment horizontal="center" vertical="center"/>
    </xf>
    <xf numFmtId="0" fontId="50" fillId="0" borderId="267" xfId="1" applyFont="1" applyFill="1" applyBorder="1" applyAlignment="1">
      <alignment vertical="center"/>
    </xf>
    <xf numFmtId="49" fontId="50" fillId="0" borderId="267" xfId="1" applyNumberFormat="1" applyFont="1" applyFill="1" applyBorder="1" applyAlignment="1">
      <alignment vertical="center"/>
    </xf>
    <xf numFmtId="0" fontId="64" fillId="0" borderId="267" xfId="1" applyFont="1" applyFill="1" applyBorder="1" applyAlignment="1">
      <alignment vertical="center" wrapText="1"/>
    </xf>
    <xf numFmtId="0" fontId="63" fillId="0" borderId="285" xfId="1" applyFont="1" applyBorder="1" applyAlignment="1">
      <alignment horizontal="center" vertical="center"/>
    </xf>
    <xf numFmtId="3" fontId="63" fillId="0" borderId="285" xfId="1" applyNumberFormat="1" applyFont="1" applyFill="1" applyBorder="1" applyAlignment="1">
      <alignment vertical="center"/>
    </xf>
    <xf numFmtId="3" fontId="63" fillId="0" borderId="292" xfId="1" applyNumberFormat="1" applyFont="1" applyFill="1" applyBorder="1" applyAlignment="1">
      <alignment vertical="center"/>
    </xf>
    <xf numFmtId="3" fontId="50" fillId="0" borderId="246" xfId="1" applyNumberFormat="1" applyFont="1" applyFill="1" applyBorder="1" applyAlignment="1">
      <alignment vertical="center"/>
    </xf>
    <xf numFmtId="49" fontId="50" fillId="0" borderId="274" xfId="1" applyNumberFormat="1" applyFont="1" applyFill="1" applyBorder="1" applyAlignment="1">
      <alignment horizontal="center" vertical="center" wrapText="1"/>
    </xf>
    <xf numFmtId="49" fontId="50" fillId="0" borderId="285" xfId="1" applyNumberFormat="1" applyFont="1" applyFill="1" applyBorder="1" applyAlignment="1">
      <alignment horizontal="center" vertical="center"/>
    </xf>
    <xf numFmtId="0" fontId="50" fillId="0" borderId="285" xfId="1" applyFont="1" applyFill="1" applyBorder="1" applyAlignment="1">
      <alignment horizontal="center" vertical="center"/>
    </xf>
    <xf numFmtId="49" fontId="50" fillId="0" borderId="48" xfId="1" applyNumberFormat="1" applyFont="1" applyFill="1" applyBorder="1" applyAlignment="1">
      <alignment horizontal="center" vertical="center"/>
    </xf>
    <xf numFmtId="3" fontId="50" fillId="0" borderId="48" xfId="1" applyNumberFormat="1" applyFont="1" applyFill="1" applyBorder="1" applyAlignment="1">
      <alignment vertical="center"/>
    </xf>
    <xf numFmtId="3" fontId="50" fillId="0" borderId="293" xfId="1" applyNumberFormat="1" applyFont="1" applyFill="1" applyBorder="1" applyAlignment="1">
      <alignment vertical="center"/>
    </xf>
    <xf numFmtId="3" fontId="12" fillId="10" borderId="281" xfId="1" applyNumberFormat="1" applyFont="1" applyFill="1" applyBorder="1" applyAlignment="1">
      <alignment vertical="center"/>
    </xf>
    <xf numFmtId="3" fontId="12" fillId="10" borderId="52" xfId="1" applyNumberFormat="1" applyFont="1" applyFill="1" applyBorder="1" applyAlignment="1">
      <alignment vertical="center"/>
    </xf>
    <xf numFmtId="0" fontId="57" fillId="10" borderId="274" xfId="1" applyFont="1" applyFill="1" applyBorder="1" applyAlignment="1">
      <alignment horizontal="center" vertical="center" wrapText="1"/>
    </xf>
    <xf numFmtId="0" fontId="57" fillId="10" borderId="290" xfId="1" applyFont="1" applyFill="1" applyBorder="1" applyAlignment="1">
      <alignment horizontal="center" vertical="center" wrapText="1"/>
    </xf>
    <xf numFmtId="49" fontId="58" fillId="10" borderId="291" xfId="1" applyNumberFormat="1" applyFont="1" applyFill="1" applyBorder="1" applyAlignment="1">
      <alignment horizontal="center" vertical="center"/>
    </xf>
    <xf numFmtId="49" fontId="58" fillId="10" borderId="285" xfId="1" applyNumberFormat="1" applyFont="1" applyFill="1" applyBorder="1" applyAlignment="1">
      <alignment horizontal="center" vertical="center"/>
    </xf>
    <xf numFmtId="0" fontId="15" fillId="10" borderId="285" xfId="1" applyFont="1" applyFill="1" applyBorder="1" applyAlignment="1">
      <alignment horizontal="center" vertical="center"/>
    </xf>
    <xf numFmtId="0" fontId="15" fillId="10" borderId="292" xfId="1" applyFont="1" applyFill="1" applyBorder="1" applyAlignment="1">
      <alignment horizontal="center" vertical="center"/>
    </xf>
    <xf numFmtId="3" fontId="12" fillId="11" borderId="281" xfId="1" applyNumberFormat="1" applyFont="1" applyFill="1" applyBorder="1" applyAlignment="1">
      <alignment vertical="center"/>
    </xf>
    <xf numFmtId="3" fontId="12" fillId="11" borderId="52" xfId="1" applyNumberFormat="1" applyFont="1" applyFill="1" applyBorder="1" applyAlignment="1">
      <alignment vertical="center"/>
    </xf>
    <xf numFmtId="49" fontId="61" fillId="13" borderId="273" xfId="1" applyNumberFormat="1" applyFont="1" applyFill="1" applyBorder="1" applyAlignment="1">
      <alignment horizontal="center" vertical="center" wrapText="1"/>
    </xf>
    <xf numFmtId="49" fontId="50" fillId="0" borderId="273" xfId="1" applyNumberFormat="1" applyFont="1" applyFill="1" applyBorder="1" applyAlignment="1">
      <alignment horizontal="center" vertical="center"/>
    </xf>
    <xf numFmtId="49" fontId="61" fillId="13" borderId="273" xfId="1" applyNumberFormat="1" applyFont="1" applyFill="1" applyBorder="1" applyAlignment="1">
      <alignment horizontal="center" vertical="center"/>
    </xf>
    <xf numFmtId="0" fontId="50" fillId="0" borderId="274" xfId="1" applyFont="1" applyFill="1" applyBorder="1" applyAlignment="1">
      <alignment horizontal="center" vertical="center"/>
    </xf>
    <xf numFmtId="3" fontId="63" fillId="0" borderId="246" xfId="1" applyNumberFormat="1" applyFont="1" applyFill="1" applyBorder="1" applyAlignment="1">
      <alignment vertical="center"/>
    </xf>
    <xf numFmtId="0" fontId="63" fillId="0" borderId="274" xfId="1" applyFont="1" applyBorder="1" applyAlignment="1">
      <alignment horizontal="center" vertical="center"/>
    </xf>
    <xf numFmtId="3" fontId="63" fillId="0" borderId="274" xfId="1" applyNumberFormat="1" applyFont="1" applyFill="1" applyBorder="1" applyAlignment="1">
      <alignment vertical="center"/>
    </xf>
    <xf numFmtId="3" fontId="63" fillId="0" borderId="290" xfId="1" applyNumberFormat="1" applyFont="1" applyFill="1" applyBorder="1" applyAlignment="1">
      <alignment vertical="center"/>
    </xf>
    <xf numFmtId="3" fontId="9" fillId="11" borderId="281" xfId="1" applyNumberFormat="1" applyFont="1" applyFill="1" applyBorder="1" applyAlignment="1">
      <alignment vertical="center"/>
    </xf>
    <xf numFmtId="3" fontId="9" fillId="11" borderId="52" xfId="1" applyNumberFormat="1" applyFont="1" applyFill="1" applyBorder="1" applyAlignment="1">
      <alignment vertical="center"/>
    </xf>
    <xf numFmtId="49" fontId="55" fillId="13" borderId="274" xfId="1" applyNumberFormat="1" applyFont="1" applyFill="1" applyBorder="1" applyAlignment="1">
      <alignment horizontal="center" vertical="center" wrapText="1"/>
    </xf>
    <xf numFmtId="3" fontId="59" fillId="13" borderId="274" xfId="1" applyNumberFormat="1" applyFont="1" applyFill="1" applyBorder="1" applyAlignment="1">
      <alignment vertical="center"/>
    </xf>
    <xf numFmtId="3" fontId="59" fillId="13" borderId="290" xfId="1" applyNumberFormat="1" applyFont="1" applyFill="1" applyBorder="1" applyAlignment="1">
      <alignment vertical="center"/>
    </xf>
    <xf numFmtId="49" fontId="58" fillId="0" borderId="274" xfId="1" applyNumberFormat="1" applyFont="1" applyFill="1" applyBorder="1" applyAlignment="1">
      <alignment horizontal="center" vertical="center" wrapText="1"/>
    </xf>
    <xf numFmtId="49" fontId="55" fillId="13" borderId="274" xfId="1" applyNumberFormat="1" applyFont="1" applyFill="1" applyBorder="1" applyAlignment="1">
      <alignment horizontal="center" vertical="center"/>
    </xf>
    <xf numFmtId="3" fontId="9" fillId="11" borderId="246" xfId="1" applyNumberFormat="1" applyFont="1" applyFill="1" applyBorder="1" applyAlignment="1">
      <alignment vertical="center"/>
    </xf>
    <xf numFmtId="49" fontId="55" fillId="12" borderId="31" xfId="1" applyNumberFormat="1" applyFont="1" applyFill="1" applyBorder="1" applyAlignment="1">
      <alignment horizontal="center" vertical="center" wrapText="1"/>
    </xf>
    <xf numFmtId="0" fontId="50" fillId="0" borderId="277" xfId="1" applyFont="1" applyFill="1" applyBorder="1" applyAlignment="1">
      <alignment horizontal="center" vertical="center"/>
    </xf>
    <xf numFmtId="49" fontId="50" fillId="0" borderId="276" xfId="1" applyNumberFormat="1" applyFont="1" applyFill="1" applyBorder="1" applyAlignment="1">
      <alignment horizontal="center" vertical="center"/>
    </xf>
    <xf numFmtId="49" fontId="86" fillId="16" borderId="294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295" xfId="10" applyNumberFormat="1" applyFont="1" applyFill="1" applyBorder="1" applyAlignment="1" applyProtection="1">
      <alignment horizontal="left" vertical="center" wrapText="1"/>
      <protection locked="0"/>
    </xf>
    <xf numFmtId="3" fontId="86" fillId="0" borderId="296" xfId="10" applyNumberFormat="1" applyFont="1" applyFill="1" applyBorder="1" applyAlignment="1" applyProtection="1">
      <alignment horizontal="right" vertical="center"/>
      <protection locked="0"/>
    </xf>
    <xf numFmtId="49" fontId="86" fillId="16" borderId="69" xfId="10" applyNumberFormat="1" applyFont="1" applyFill="1" applyBorder="1" applyAlignment="1" applyProtection="1">
      <alignment vertical="center" wrapText="1"/>
      <protection locked="0"/>
    </xf>
    <xf numFmtId="49" fontId="86" fillId="16" borderId="27" xfId="10" applyNumberFormat="1" applyFont="1" applyFill="1" applyBorder="1" applyAlignment="1" applyProtection="1">
      <alignment vertical="center" wrapText="1"/>
      <protection locked="0"/>
    </xf>
    <xf numFmtId="49" fontId="86" fillId="16" borderId="14" xfId="10" applyNumberFormat="1" applyFont="1" applyFill="1" applyBorder="1" applyAlignment="1" applyProtection="1">
      <alignment vertical="center" wrapText="1"/>
      <protection locked="0"/>
    </xf>
    <xf numFmtId="0" fontId="7" fillId="0" borderId="7" xfId="1" applyFont="1" applyBorder="1" applyAlignment="1">
      <alignment horizontal="left" vertical="center" wrapText="1"/>
    </xf>
    <xf numFmtId="3" fontId="7" fillId="6" borderId="297" xfId="1" applyNumberFormat="1" applyFont="1" applyFill="1" applyBorder="1" applyAlignment="1">
      <alignment horizontal="right" vertical="center"/>
    </xf>
    <xf numFmtId="3" fontId="7" fillId="6" borderId="298" xfId="1" applyNumberFormat="1" applyFont="1" applyFill="1" applyBorder="1" applyAlignment="1">
      <alignment horizontal="right" vertical="center"/>
    </xf>
    <xf numFmtId="0" fontId="7" fillId="0" borderId="223" xfId="1" applyFont="1" applyBorder="1" applyAlignment="1">
      <alignment horizontal="left" vertical="center" wrapText="1"/>
    </xf>
    <xf numFmtId="3" fontId="7" fillId="6" borderId="43" xfId="1" applyNumberFormat="1" applyFont="1" applyFill="1" applyBorder="1" applyAlignment="1">
      <alignment horizontal="right" vertical="center"/>
    </xf>
    <xf numFmtId="3" fontId="7" fillId="6" borderId="51" xfId="1" applyNumberFormat="1" applyFont="1" applyFill="1" applyBorder="1" applyAlignment="1">
      <alignment horizontal="right" vertical="center"/>
    </xf>
    <xf numFmtId="3" fontId="67" fillId="0" borderId="0" xfId="15" applyNumberFormat="1" applyFont="1" applyBorder="1" applyAlignment="1">
      <alignment horizontal="left" vertical="center" wrapText="1"/>
    </xf>
    <xf numFmtId="0" fontId="68" fillId="0" borderId="0" xfId="15" applyFont="1" applyBorder="1" applyAlignment="1">
      <alignment horizontal="center" vertical="center" wrapText="1"/>
    </xf>
    <xf numFmtId="0" fontId="11" fillId="2" borderId="4" xfId="15" applyFont="1" applyFill="1" applyBorder="1" applyAlignment="1">
      <alignment horizontal="center" vertical="center" wrapText="1"/>
    </xf>
    <xf numFmtId="0" fontId="11" fillId="2" borderId="12" xfId="15" applyFont="1" applyFill="1" applyBorder="1" applyAlignment="1">
      <alignment horizontal="center" vertical="center" wrapText="1"/>
    </xf>
    <xf numFmtId="0" fontId="33" fillId="2" borderId="4" xfId="15" applyFont="1" applyFill="1" applyBorder="1" applyAlignment="1">
      <alignment horizontal="center" vertical="center" wrapText="1"/>
    </xf>
    <xf numFmtId="0" fontId="11" fillId="2" borderId="9" xfId="15" applyFont="1" applyFill="1" applyBorder="1" applyAlignment="1">
      <alignment horizontal="center" vertical="center" wrapText="1"/>
    </xf>
    <xf numFmtId="3" fontId="33" fillId="2" borderId="19" xfId="15" applyNumberFormat="1" applyFont="1" applyFill="1" applyBorder="1" applyAlignment="1">
      <alignment horizontal="center" vertical="center" wrapText="1"/>
    </xf>
    <xf numFmtId="3" fontId="33" fillId="2" borderId="14" xfId="15" applyNumberFormat="1" applyFont="1" applyFill="1" applyBorder="1" applyAlignment="1">
      <alignment horizontal="center" vertical="center" wrapText="1"/>
    </xf>
    <xf numFmtId="0" fontId="8" fillId="13" borderId="64" xfId="15" applyFont="1" applyFill="1" applyBorder="1" applyAlignment="1">
      <alignment horizontal="left" vertical="center" wrapText="1"/>
    </xf>
    <xf numFmtId="0" fontId="8" fillId="13" borderId="26" xfId="15" quotePrefix="1" applyFont="1" applyFill="1" applyBorder="1" applyAlignment="1">
      <alignment horizontal="left" vertical="center" wrapText="1"/>
    </xf>
    <xf numFmtId="0" fontId="8" fillId="13" borderId="49" xfId="15" applyFont="1" applyFill="1" applyBorder="1" applyAlignment="1">
      <alignment horizontal="left" vertical="center" wrapText="1"/>
    </xf>
    <xf numFmtId="0" fontId="8" fillId="13" borderId="74" xfId="15" quotePrefix="1" applyFont="1" applyFill="1" applyBorder="1" applyAlignment="1">
      <alignment horizontal="left" vertical="center" wrapText="1"/>
    </xf>
    <xf numFmtId="0" fontId="12" fillId="0" borderId="19" xfId="15" quotePrefix="1" applyFont="1" applyFill="1" applyBorder="1" applyAlignment="1">
      <alignment horizontal="center" vertical="center" wrapText="1"/>
    </xf>
    <xf numFmtId="0" fontId="12" fillId="0" borderId="17" xfId="15" quotePrefix="1" applyFont="1" applyFill="1" applyBorder="1" applyAlignment="1">
      <alignment horizontal="center" vertical="center" wrapText="1"/>
    </xf>
    <xf numFmtId="0" fontId="8" fillId="13" borderId="0" xfId="15" applyFont="1" applyFill="1" applyBorder="1" applyAlignment="1">
      <alignment horizontal="left" vertical="center" wrapText="1"/>
    </xf>
    <xf numFmtId="0" fontId="8" fillId="13" borderId="0" xfId="15" quotePrefix="1" applyFont="1" applyFill="1" applyBorder="1" applyAlignment="1">
      <alignment horizontal="left" vertical="center" wrapText="1"/>
    </xf>
    <xf numFmtId="0" fontId="8" fillId="0" borderId="34" xfId="15" applyFont="1" applyFill="1" applyBorder="1" applyAlignment="1">
      <alignment horizontal="center" vertical="center" wrapText="1"/>
    </xf>
    <xf numFmtId="0" fontId="8" fillId="0" borderId="18" xfId="15" applyFont="1" applyFill="1" applyBorder="1" applyAlignment="1">
      <alignment horizontal="center" vertical="center" wrapText="1"/>
    </xf>
    <xf numFmtId="0" fontId="8" fillId="13" borderId="72" xfId="15" applyFont="1" applyFill="1" applyBorder="1" applyAlignment="1">
      <alignment horizontal="left" vertical="center" wrapText="1"/>
    </xf>
    <xf numFmtId="0" fontId="8" fillId="13" borderId="23" xfId="15" quotePrefix="1" applyFont="1" applyFill="1" applyBorder="1" applyAlignment="1">
      <alignment horizontal="left" vertical="center" wrapText="1"/>
    </xf>
    <xf numFmtId="0" fontId="69" fillId="0" borderId="34" xfId="15" applyFont="1" applyBorder="1" applyAlignment="1">
      <alignment horizontal="center" vertical="center" wrapText="1"/>
    </xf>
    <xf numFmtId="0" fontId="69" fillId="0" borderId="17" xfId="15" applyFont="1" applyBorder="1" applyAlignment="1">
      <alignment horizontal="center" vertical="center" wrapText="1"/>
    </xf>
    <xf numFmtId="0" fontId="8" fillId="13" borderId="76" xfId="15" applyFont="1" applyFill="1" applyBorder="1" applyAlignment="1">
      <alignment horizontal="left" vertical="center" wrapText="1"/>
    </xf>
    <xf numFmtId="0" fontId="8" fillId="13" borderId="65" xfId="15" quotePrefix="1" applyFont="1" applyFill="1" applyBorder="1" applyAlignment="1">
      <alignment horizontal="left" vertical="center" wrapText="1"/>
    </xf>
    <xf numFmtId="0" fontId="8" fillId="6" borderId="17" xfId="15" applyFont="1" applyFill="1" applyBorder="1" applyAlignment="1">
      <alignment horizontal="center" vertical="center" wrapText="1"/>
    </xf>
    <xf numFmtId="0" fontId="8" fillId="6" borderId="18" xfId="15" applyFont="1" applyFill="1" applyBorder="1" applyAlignment="1">
      <alignment horizontal="center" vertical="center" wrapText="1"/>
    </xf>
    <xf numFmtId="0" fontId="8" fillId="13" borderId="57" xfId="15" quotePrefix="1" applyFont="1" applyFill="1" applyBorder="1" applyAlignment="1">
      <alignment horizontal="left" vertical="center" wrapText="1"/>
    </xf>
    <xf numFmtId="49" fontId="8" fillId="13" borderId="83" xfId="15" applyNumberFormat="1" applyFont="1" applyFill="1" applyBorder="1" applyAlignment="1">
      <alignment horizontal="left" vertical="center" wrapText="1"/>
    </xf>
    <xf numFmtId="49" fontId="8" fillId="13" borderId="49" xfId="15" applyNumberFormat="1" applyFont="1" applyFill="1" applyBorder="1" applyAlignment="1">
      <alignment horizontal="left" vertical="center" wrapText="1"/>
    </xf>
    <xf numFmtId="49" fontId="8" fillId="13" borderId="74" xfId="15" applyNumberFormat="1" applyFont="1" applyFill="1" applyBorder="1" applyAlignment="1">
      <alignment horizontal="left" vertical="center" wrapText="1"/>
    </xf>
    <xf numFmtId="0" fontId="8" fillId="13" borderId="75" xfId="15" applyFont="1" applyFill="1" applyBorder="1" applyAlignment="1">
      <alignment horizontal="left" vertical="center" wrapText="1"/>
    </xf>
    <xf numFmtId="0" fontId="12" fillId="0" borderId="5" xfId="15" quotePrefix="1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left" vertical="center" wrapText="1"/>
    </xf>
    <xf numFmtId="0" fontId="8" fillId="13" borderId="74" xfId="15" applyFont="1" applyFill="1" applyBorder="1" applyAlignment="1">
      <alignment horizontal="left" vertical="center" wrapText="1"/>
    </xf>
    <xf numFmtId="0" fontId="8" fillId="6" borderId="62" xfId="15" applyFont="1" applyFill="1" applyBorder="1" applyAlignment="1">
      <alignment horizontal="center" vertical="center" wrapText="1"/>
    </xf>
    <xf numFmtId="0" fontId="69" fillId="0" borderId="19" xfId="15" applyFont="1" applyBorder="1" applyAlignment="1">
      <alignment horizontal="center" vertical="center" wrapText="1"/>
    </xf>
    <xf numFmtId="0" fontId="69" fillId="0" borderId="14" xfId="15" applyFont="1" applyBorder="1" applyAlignment="1">
      <alignment horizontal="center" vertical="center" wrapText="1"/>
    </xf>
    <xf numFmtId="0" fontId="8" fillId="13" borderId="75" xfId="15" quotePrefix="1" applyFont="1" applyFill="1" applyBorder="1" applyAlignment="1">
      <alignment horizontal="left" vertical="center" wrapText="1"/>
    </xf>
    <xf numFmtId="0" fontId="8" fillId="13" borderId="57" xfId="15" applyFont="1" applyFill="1" applyBorder="1" applyAlignment="1">
      <alignment horizontal="left" vertical="center" wrapText="1"/>
    </xf>
    <xf numFmtId="0" fontId="8" fillId="13" borderId="3" xfId="15" applyFont="1" applyFill="1" applyBorder="1" applyAlignment="1">
      <alignment horizontal="left" vertical="center" wrapText="1"/>
    </xf>
    <xf numFmtId="0" fontId="8" fillId="13" borderId="3" xfId="15" quotePrefix="1" applyFont="1" applyFill="1" applyBorder="1" applyAlignment="1">
      <alignment horizontal="left" vertical="center" wrapText="1"/>
    </xf>
    <xf numFmtId="0" fontId="8" fillId="13" borderId="80" xfId="15" applyFont="1" applyFill="1" applyBorder="1" applyAlignment="1">
      <alignment horizontal="left" vertical="center" wrapText="1"/>
    </xf>
    <xf numFmtId="0" fontId="69" fillId="0" borderId="18" xfId="15" applyFont="1" applyBorder="1" applyAlignment="1">
      <alignment horizontal="center" vertical="center" wrapText="1"/>
    </xf>
    <xf numFmtId="0" fontId="75" fillId="0" borderId="34" xfId="15" applyFont="1" applyBorder="1" applyAlignment="1">
      <alignment horizontal="left" vertical="center" wrapText="1"/>
    </xf>
    <xf numFmtId="0" fontId="75" fillId="0" borderId="18" xfId="15" applyFont="1" applyBorder="1" applyAlignment="1">
      <alignment horizontal="left" vertical="center" wrapText="1"/>
    </xf>
    <xf numFmtId="0" fontId="8" fillId="13" borderId="83" xfId="15" applyFont="1" applyFill="1" applyBorder="1" applyAlignment="1">
      <alignment horizontal="left" vertical="center" wrapText="1"/>
    </xf>
    <xf numFmtId="0" fontId="8" fillId="13" borderId="10" xfId="15" applyFont="1" applyFill="1" applyBorder="1" applyAlignment="1">
      <alignment horizontal="left" vertical="center" wrapText="1"/>
    </xf>
    <xf numFmtId="0" fontId="8" fillId="6" borderId="23" xfId="15" applyFont="1" applyFill="1" applyBorder="1" applyAlignment="1">
      <alignment horizontal="center" vertical="center" wrapText="1"/>
    </xf>
    <xf numFmtId="0" fontId="8" fillId="6" borderId="5" xfId="15" applyFont="1" applyFill="1" applyBorder="1" applyAlignment="1">
      <alignment horizontal="center" vertical="center" wrapText="1"/>
    </xf>
    <xf numFmtId="0" fontId="69" fillId="6" borderId="17" xfId="15" applyFont="1" applyFill="1" applyBorder="1" applyAlignment="1">
      <alignment horizontal="left" vertical="center" wrapText="1"/>
    </xf>
    <xf numFmtId="0" fontId="69" fillId="6" borderId="18" xfId="15" applyFont="1" applyFill="1" applyBorder="1" applyAlignment="1">
      <alignment horizontal="left" vertical="center" wrapText="1"/>
    </xf>
    <xf numFmtId="0" fontId="8" fillId="13" borderId="65" xfId="15" applyFont="1" applyFill="1" applyBorder="1" applyAlignment="1">
      <alignment horizontal="left" vertical="center" wrapText="1"/>
    </xf>
    <xf numFmtId="0" fontId="76" fillId="0" borderId="19" xfId="15" applyFont="1" applyBorder="1" applyAlignment="1">
      <alignment horizontal="center" vertical="center" wrapText="1"/>
    </xf>
    <xf numFmtId="0" fontId="76" fillId="0" borderId="17" xfId="15" applyFont="1" applyBorder="1" applyAlignment="1">
      <alignment horizontal="center" vertical="center" wrapText="1"/>
    </xf>
    <xf numFmtId="0" fontId="76" fillId="0" borderId="34" xfId="15" applyFont="1" applyBorder="1" applyAlignment="1">
      <alignment horizontal="center" vertical="center" wrapText="1"/>
    </xf>
    <xf numFmtId="0" fontId="8" fillId="13" borderId="26" xfId="15" applyFont="1" applyFill="1" applyBorder="1" applyAlignment="1">
      <alignment horizontal="left" vertical="center" wrapText="1"/>
    </xf>
    <xf numFmtId="0" fontId="8" fillId="6" borderId="34" xfId="15" applyFont="1" applyFill="1" applyBorder="1" applyAlignment="1">
      <alignment horizontal="center" vertical="center" wrapText="1"/>
    </xf>
    <xf numFmtId="0" fontId="8" fillId="13" borderId="67" xfId="15" applyFont="1" applyFill="1" applyBorder="1" applyAlignment="1">
      <alignment horizontal="left" vertical="center" wrapText="1"/>
    </xf>
    <xf numFmtId="0" fontId="8" fillId="13" borderId="23" xfId="15" applyFont="1" applyFill="1" applyBorder="1" applyAlignment="1">
      <alignment horizontal="left" vertical="center" wrapText="1"/>
    </xf>
    <xf numFmtId="0" fontId="8" fillId="13" borderId="63" xfId="15" applyFont="1" applyFill="1" applyBorder="1" applyAlignment="1">
      <alignment horizontal="left" vertical="center" wrapText="1"/>
    </xf>
    <xf numFmtId="0" fontId="73" fillId="0" borderId="34" xfId="15" applyFont="1" applyBorder="1" applyAlignment="1">
      <alignment horizontal="center" vertical="center" wrapText="1"/>
    </xf>
    <xf numFmtId="0" fontId="73" fillId="0" borderId="17" xfId="15" applyFont="1" applyBorder="1" applyAlignment="1">
      <alignment horizontal="center" vertical="center" wrapText="1"/>
    </xf>
    <xf numFmtId="0" fontId="75" fillId="0" borderId="17" xfId="15" applyFont="1" applyBorder="1" applyAlignment="1">
      <alignment horizontal="left" vertical="center" wrapText="1"/>
    </xf>
    <xf numFmtId="0" fontId="73" fillId="0" borderId="23" xfId="15" applyFont="1" applyBorder="1" applyAlignment="1">
      <alignment horizontal="center" vertical="center" wrapText="1"/>
    </xf>
    <xf numFmtId="0" fontId="73" fillId="0" borderId="5" xfId="15" applyFont="1" applyBorder="1" applyAlignment="1">
      <alignment horizontal="center" vertical="center" wrapText="1"/>
    </xf>
    <xf numFmtId="0" fontId="73" fillId="0" borderId="66" xfId="15" applyFont="1" applyBorder="1" applyAlignment="1">
      <alignment horizontal="center" vertical="center" wrapText="1"/>
    </xf>
    <xf numFmtId="0" fontId="75" fillId="6" borderId="23" xfId="15" applyFont="1" applyFill="1" applyBorder="1" applyAlignment="1">
      <alignment horizontal="left" vertical="center" wrapText="1"/>
    </xf>
    <xf numFmtId="0" fontId="75" fillId="6" borderId="66" xfId="15" applyFont="1" applyFill="1" applyBorder="1" applyAlignment="1">
      <alignment horizontal="left" vertical="center" wrapText="1"/>
    </xf>
    <xf numFmtId="0" fontId="75" fillId="6" borderId="34" xfId="15" applyFont="1" applyFill="1" applyBorder="1" applyAlignment="1">
      <alignment horizontal="left" vertical="center" wrapText="1"/>
    </xf>
    <xf numFmtId="0" fontId="75" fillId="6" borderId="17" xfId="15" applyFont="1" applyFill="1" applyBorder="1" applyAlignment="1">
      <alignment horizontal="left" vertical="center" wrapText="1"/>
    </xf>
    <xf numFmtId="0" fontId="76" fillId="0" borderId="17" xfId="15" applyFont="1" applyFill="1" applyBorder="1" applyAlignment="1">
      <alignment horizontal="center" vertical="center" wrapText="1"/>
    </xf>
    <xf numFmtId="0" fontId="73" fillId="0" borderId="37" xfId="15" applyFont="1" applyBorder="1" applyAlignment="1">
      <alignment horizontal="center" vertical="center" wrapText="1"/>
    </xf>
    <xf numFmtId="0" fontId="73" fillId="0" borderId="36" xfId="15" applyFont="1" applyBorder="1" applyAlignment="1">
      <alignment horizontal="center" vertical="center" wrapText="1"/>
    </xf>
    <xf numFmtId="0" fontId="7" fillId="6" borderId="34" xfId="15" quotePrefix="1" applyFont="1" applyFill="1" applyBorder="1" applyAlignment="1">
      <alignment horizontal="center" vertical="center" wrapText="1"/>
    </xf>
    <xf numFmtId="0" fontId="7" fillId="6" borderId="17" xfId="15" quotePrefix="1" applyFont="1" applyFill="1" applyBorder="1" applyAlignment="1">
      <alignment horizontal="center" vertical="center" wrapText="1"/>
    </xf>
    <xf numFmtId="0" fontId="7" fillId="6" borderId="18" xfId="15" quotePrefix="1" applyFont="1" applyFill="1" applyBorder="1" applyAlignment="1">
      <alignment horizontal="center" vertical="center" wrapText="1"/>
    </xf>
    <xf numFmtId="49" fontId="7" fillId="6" borderId="34" xfId="15" quotePrefix="1" applyNumberFormat="1" applyFont="1" applyFill="1" applyBorder="1" applyAlignment="1">
      <alignment horizontal="center" vertical="center" wrapText="1"/>
    </xf>
    <xf numFmtId="49" fontId="7" fillId="6" borderId="17" xfId="15" quotePrefix="1" applyNumberFormat="1" applyFont="1" applyFill="1" applyBorder="1" applyAlignment="1">
      <alignment horizontal="center" vertical="center" wrapText="1"/>
    </xf>
    <xf numFmtId="49" fontId="7" fillId="6" borderId="18" xfId="15" quotePrefix="1" applyNumberFormat="1" applyFont="1" applyFill="1" applyBorder="1" applyAlignment="1">
      <alignment horizontal="center" vertical="center" wrapText="1"/>
    </xf>
    <xf numFmtId="0" fontId="8" fillId="13" borderId="49" xfId="15" applyFont="1" applyFill="1" applyBorder="1" applyAlignment="1">
      <alignment horizontal="left" vertical="center"/>
    </xf>
    <xf numFmtId="0" fontId="8" fillId="13" borderId="80" xfId="15" applyFont="1" applyFill="1" applyBorder="1" applyAlignment="1">
      <alignment horizontal="left" vertical="center"/>
    </xf>
    <xf numFmtId="0" fontId="73" fillId="0" borderId="18" xfId="15" applyFont="1" applyBorder="1" applyAlignment="1">
      <alignment horizontal="center" vertical="center" wrapText="1"/>
    </xf>
    <xf numFmtId="0" fontId="8" fillId="13" borderId="45" xfId="15" applyFont="1" applyFill="1" applyBorder="1" applyAlignment="1">
      <alignment horizontal="left" vertical="center" wrapText="1"/>
    </xf>
    <xf numFmtId="0" fontId="8" fillId="13" borderId="51" xfId="15" quotePrefix="1" applyFont="1" applyFill="1" applyBorder="1" applyAlignment="1">
      <alignment horizontal="left" vertical="center" wrapText="1"/>
    </xf>
    <xf numFmtId="0" fontId="82" fillId="6" borderId="34" xfId="1" applyFont="1" applyFill="1" applyBorder="1" applyAlignment="1">
      <alignment horizontal="center" vertical="center" wrapText="1"/>
    </xf>
    <xf numFmtId="0" fontId="82" fillId="6" borderId="17" xfId="1" applyFont="1" applyFill="1" applyBorder="1" applyAlignment="1">
      <alignment horizontal="center" vertical="center" wrapText="1"/>
    </xf>
    <xf numFmtId="0" fontId="31" fillId="6" borderId="23" xfId="1" applyFont="1" applyFill="1" applyBorder="1" applyAlignment="1">
      <alignment horizontal="left" vertical="center" wrapText="1"/>
    </xf>
    <xf numFmtId="0" fontId="31" fillId="6" borderId="66" xfId="1" applyFont="1" applyFill="1" applyBorder="1" applyAlignment="1">
      <alignment horizontal="left" vertical="center" wrapText="1"/>
    </xf>
    <xf numFmtId="0" fontId="82" fillId="13" borderId="64" xfId="1" applyFont="1" applyFill="1" applyBorder="1" applyAlignment="1">
      <alignment horizontal="left" vertical="center" wrapText="1"/>
    </xf>
    <xf numFmtId="0" fontId="82" fillId="13" borderId="26" xfId="1" applyFont="1" applyFill="1" applyBorder="1" applyAlignment="1">
      <alignment horizontal="left" vertical="center" wrapText="1"/>
    </xf>
    <xf numFmtId="0" fontId="82" fillId="6" borderId="14" xfId="1" applyFont="1" applyFill="1" applyBorder="1" applyAlignment="1">
      <alignment horizontal="center" vertical="center" wrapText="1"/>
    </xf>
    <xf numFmtId="0" fontId="31" fillId="6" borderId="34" xfId="1" applyFont="1" applyFill="1" applyBorder="1" applyAlignment="1">
      <alignment horizontal="center" vertical="center" wrapText="1"/>
    </xf>
    <xf numFmtId="0" fontId="31" fillId="6" borderId="18" xfId="1" applyFont="1" applyFill="1" applyBorder="1" applyAlignment="1">
      <alignment horizontal="center" vertical="center" wrapText="1"/>
    </xf>
    <xf numFmtId="0" fontId="82" fillId="13" borderId="0" xfId="1" applyFont="1" applyFill="1" applyBorder="1" applyAlignment="1">
      <alignment horizontal="left" vertical="center" wrapText="1"/>
    </xf>
    <xf numFmtId="0" fontId="82" fillId="13" borderId="3" xfId="1" applyFont="1" applyFill="1" applyBorder="1" applyAlignment="1">
      <alignment horizontal="left" vertical="center" wrapText="1"/>
    </xf>
    <xf numFmtId="0" fontId="69" fillId="6" borderId="19" xfId="1" applyFont="1" applyFill="1" applyBorder="1" applyAlignment="1">
      <alignment horizontal="center" vertical="center" wrapText="1"/>
    </xf>
    <xf numFmtId="0" fontId="69" fillId="6" borderId="17" xfId="1" applyFont="1" applyFill="1" applyBorder="1" applyAlignment="1">
      <alignment horizontal="center" vertical="center" wrapText="1"/>
    </xf>
    <xf numFmtId="0" fontId="8" fillId="13" borderId="3" xfId="1" applyFont="1" applyFill="1" applyBorder="1" applyAlignment="1">
      <alignment horizontal="left" vertical="center" wrapText="1"/>
    </xf>
    <xf numFmtId="0" fontId="8" fillId="13" borderId="67" xfId="1" applyFont="1" applyFill="1" applyBorder="1" applyAlignment="1">
      <alignment horizontal="left" vertical="center" wrapText="1"/>
    </xf>
    <xf numFmtId="0" fontId="8" fillId="13" borderId="64" xfId="1" applyFont="1" applyFill="1" applyBorder="1" applyAlignment="1">
      <alignment horizontal="left" vertical="center" wrapText="1"/>
    </xf>
    <xf numFmtId="0" fontId="8" fillId="13" borderId="26" xfId="1" applyFont="1" applyFill="1" applyBorder="1" applyAlignment="1">
      <alignment horizontal="left" vertical="center" wrapText="1"/>
    </xf>
    <xf numFmtId="0" fontId="8" fillId="13" borderId="0" xfId="1" applyFont="1" applyFill="1" applyBorder="1" applyAlignment="1">
      <alignment horizontal="left" vertical="center" wrapText="1"/>
    </xf>
    <xf numFmtId="0" fontId="82" fillId="13" borderId="75" xfId="1" applyFont="1" applyFill="1" applyBorder="1" applyAlignment="1">
      <alignment horizontal="left" vertical="center" wrapText="1"/>
    </xf>
    <xf numFmtId="0" fontId="82" fillId="13" borderId="65" xfId="1" applyFont="1" applyFill="1" applyBorder="1" applyAlignment="1">
      <alignment horizontal="left" vertical="center" wrapText="1"/>
    </xf>
    <xf numFmtId="0" fontId="82" fillId="13" borderId="72" xfId="1" applyFont="1" applyFill="1" applyBorder="1" applyAlignment="1">
      <alignment horizontal="left" vertical="center" wrapText="1"/>
    </xf>
    <xf numFmtId="0" fontId="82" fillId="13" borderId="23" xfId="1" applyFont="1" applyFill="1" applyBorder="1" applyAlignment="1">
      <alignment horizontal="left" vertical="center" wrapText="1"/>
    </xf>
    <xf numFmtId="0" fontId="76" fillId="6" borderId="17" xfId="1" applyFont="1" applyFill="1" applyBorder="1" applyAlignment="1">
      <alignment horizontal="center" vertical="center" wrapText="1"/>
    </xf>
    <xf numFmtId="0" fontId="82" fillId="13" borderId="76" xfId="1" applyFont="1" applyFill="1" applyBorder="1" applyAlignment="1">
      <alignment horizontal="left" vertical="center" wrapText="1"/>
    </xf>
    <xf numFmtId="0" fontId="82" fillId="13" borderId="49" xfId="1" applyFont="1" applyFill="1" applyBorder="1" applyAlignment="1">
      <alignment horizontal="left" vertical="center" wrapText="1"/>
    </xf>
    <xf numFmtId="0" fontId="82" fillId="13" borderId="80" xfId="1" applyFont="1" applyFill="1" applyBorder="1" applyAlignment="1">
      <alignment horizontal="left" vertical="center" wrapText="1"/>
    </xf>
    <xf numFmtId="49" fontId="31" fillId="6" borderId="17" xfId="1" applyNumberFormat="1" applyFont="1" applyFill="1" applyBorder="1" applyAlignment="1">
      <alignment horizontal="center" vertical="center" wrapText="1"/>
    </xf>
    <xf numFmtId="49" fontId="31" fillId="6" borderId="18" xfId="1" applyNumberFormat="1" applyFont="1" applyFill="1" applyBorder="1" applyAlignment="1">
      <alignment horizontal="center" vertical="center" wrapText="1"/>
    </xf>
    <xf numFmtId="49" fontId="31" fillId="6" borderId="34" xfId="1" applyNumberFormat="1" applyFont="1" applyFill="1" applyBorder="1" applyAlignment="1">
      <alignment horizontal="center" vertical="center" wrapText="1"/>
    </xf>
    <xf numFmtId="0" fontId="75" fillId="0" borderId="23" xfId="15" applyFont="1" applyBorder="1" applyAlignment="1">
      <alignment horizontal="left" vertical="center" wrapText="1"/>
    </xf>
    <xf numFmtId="0" fontId="75" fillId="0" borderId="5" xfId="15" applyFont="1" applyBorder="1" applyAlignment="1">
      <alignment horizontal="left" vertical="center" wrapText="1"/>
    </xf>
    <xf numFmtId="0" fontId="75" fillId="0" borderId="66" xfId="15" applyFont="1" applyBorder="1" applyAlignment="1">
      <alignment horizontal="left" vertical="center" wrapText="1"/>
    </xf>
    <xf numFmtId="0" fontId="76" fillId="6" borderId="19" xfId="1" applyFont="1" applyFill="1" applyBorder="1" applyAlignment="1">
      <alignment horizontal="center" vertical="center" wrapText="1"/>
    </xf>
    <xf numFmtId="0" fontId="82" fillId="13" borderId="67" xfId="1" applyFont="1" applyFill="1" applyBorder="1" applyAlignment="1">
      <alignment horizontal="left" vertical="center" wrapText="1"/>
    </xf>
    <xf numFmtId="0" fontId="82" fillId="13" borderId="74" xfId="1" applyFont="1" applyFill="1" applyBorder="1" applyAlignment="1">
      <alignment horizontal="left" vertical="center" wrapText="1"/>
    </xf>
    <xf numFmtId="0" fontId="82" fillId="13" borderId="83" xfId="1" applyFont="1" applyFill="1" applyBorder="1" applyAlignment="1">
      <alignment horizontal="left" vertical="center" wrapText="1"/>
    </xf>
    <xf numFmtId="0" fontId="82" fillId="13" borderId="10" xfId="1" applyFont="1" applyFill="1" applyBorder="1" applyAlignment="1">
      <alignment horizontal="left" vertical="center" wrapText="1"/>
    </xf>
    <xf numFmtId="0" fontId="82" fillId="13" borderId="57" xfId="1" applyFont="1" applyFill="1" applyBorder="1" applyAlignment="1">
      <alignment horizontal="left" vertical="center" wrapText="1"/>
    </xf>
    <xf numFmtId="0" fontId="82" fillId="6" borderId="18" xfId="1" applyFont="1" applyFill="1" applyBorder="1" applyAlignment="1">
      <alignment horizontal="center" vertical="center" wrapText="1"/>
    </xf>
    <xf numFmtId="0" fontId="82" fillId="13" borderId="66" xfId="1" applyFont="1" applyFill="1" applyBorder="1" applyAlignment="1">
      <alignment horizontal="left" vertical="center" wrapText="1"/>
    </xf>
    <xf numFmtId="0" fontId="82" fillId="13" borderId="5" xfId="1" applyFont="1" applyFill="1" applyBorder="1" applyAlignment="1">
      <alignment horizontal="left" vertical="center" wrapText="1"/>
    </xf>
    <xf numFmtId="0" fontId="82" fillId="13" borderId="63" xfId="1" applyFont="1" applyFill="1" applyBorder="1" applyAlignment="1">
      <alignment horizontal="left" vertical="center" wrapText="1"/>
    </xf>
    <xf numFmtId="0" fontId="31" fillId="6" borderId="34" xfId="1" applyFont="1" applyFill="1" applyBorder="1" applyAlignment="1">
      <alignment horizontal="left" vertical="center" wrapText="1"/>
    </xf>
    <xf numFmtId="0" fontId="31" fillId="6" borderId="18" xfId="1" applyFont="1" applyFill="1" applyBorder="1" applyAlignment="1">
      <alignment horizontal="left" vertical="center" wrapText="1"/>
    </xf>
    <xf numFmtId="0" fontId="76" fillId="0" borderId="17" xfId="1" applyFont="1" applyFill="1" applyBorder="1" applyAlignment="1">
      <alignment horizontal="center" vertical="center" wrapText="1"/>
    </xf>
    <xf numFmtId="0" fontId="74" fillId="6" borderId="34" xfId="1" applyFont="1" applyFill="1" applyBorder="1" applyAlignment="1">
      <alignment horizontal="center" vertical="center" wrapText="1"/>
    </xf>
    <xf numFmtId="0" fontId="74" fillId="6" borderId="17" xfId="1" applyFont="1" applyFill="1" applyBorder="1" applyAlignment="1">
      <alignment horizontal="center" vertical="center" wrapText="1"/>
    </xf>
    <xf numFmtId="0" fontId="74" fillId="6" borderId="18" xfId="1" applyFont="1" applyFill="1" applyBorder="1" applyAlignment="1">
      <alignment horizontal="center" vertical="center" wrapText="1"/>
    </xf>
    <xf numFmtId="0" fontId="75" fillId="6" borderId="34" xfId="1" applyFont="1" applyFill="1" applyBorder="1" applyAlignment="1">
      <alignment horizontal="left" vertical="center" wrapText="1"/>
    </xf>
    <xf numFmtId="0" fontId="75" fillId="6" borderId="17" xfId="1" applyFont="1" applyFill="1" applyBorder="1" applyAlignment="1">
      <alignment horizontal="left" vertical="center" wrapText="1"/>
    </xf>
    <xf numFmtId="0" fontId="75" fillId="6" borderId="18" xfId="1" applyFont="1" applyFill="1" applyBorder="1" applyAlignment="1">
      <alignment horizontal="left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84" fillId="13" borderId="76" xfId="1" applyFont="1" applyFill="1" applyBorder="1" applyAlignment="1">
      <alignment horizontal="left" vertical="center"/>
    </xf>
    <xf numFmtId="0" fontId="84" fillId="13" borderId="75" xfId="1" applyFont="1" applyFill="1" applyBorder="1" applyAlignment="1">
      <alignment horizontal="left" vertical="center"/>
    </xf>
    <xf numFmtId="0" fontId="84" fillId="13" borderId="65" xfId="1" applyFont="1" applyFill="1" applyBorder="1" applyAlignment="1">
      <alignment horizontal="left" vertical="center"/>
    </xf>
    <xf numFmtId="0" fontId="84" fillId="13" borderId="64" xfId="1" applyFont="1" applyFill="1" applyBorder="1" applyAlignment="1">
      <alignment horizontal="left" vertical="center"/>
    </xf>
    <xf numFmtId="0" fontId="84" fillId="13" borderId="26" xfId="1" applyFont="1" applyFill="1" applyBorder="1" applyAlignment="1">
      <alignment horizontal="left" vertical="center"/>
    </xf>
    <xf numFmtId="0" fontId="84" fillId="13" borderId="57" xfId="1" applyFont="1" applyFill="1" applyBorder="1" applyAlignment="1">
      <alignment horizontal="left" vertical="center"/>
    </xf>
    <xf numFmtId="0" fontId="84" fillId="13" borderId="49" xfId="1" applyFont="1" applyFill="1" applyBorder="1" applyAlignment="1">
      <alignment horizontal="left" vertical="center"/>
    </xf>
    <xf numFmtId="0" fontId="84" fillId="13" borderId="74" xfId="1" applyFont="1" applyFill="1" applyBorder="1" applyAlignment="1">
      <alignment horizontal="left" vertical="center"/>
    </xf>
    <xf numFmtId="0" fontId="84" fillId="13" borderId="80" xfId="1" applyFont="1" applyFill="1" applyBorder="1" applyAlignment="1">
      <alignment horizontal="left" vertical="center"/>
    </xf>
    <xf numFmtId="0" fontId="12" fillId="0" borderId="17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49" fontId="94" fillId="16" borderId="90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90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90" xfId="10" applyNumberFormat="1" applyFont="1" applyFill="1" applyBorder="1" applyAlignment="1" applyProtection="1">
      <alignment horizontal="left" vertical="center" wrapText="1"/>
      <protection locked="0"/>
    </xf>
    <xf numFmtId="49" fontId="92" fillId="16" borderId="98" xfId="10" applyNumberFormat="1" applyFont="1" applyFill="1" applyBorder="1" applyAlignment="1" applyProtection="1">
      <alignment horizontal="left" vertical="center" wrapText="1"/>
      <protection locked="0"/>
    </xf>
    <xf numFmtId="49" fontId="92" fillId="16" borderId="99" xfId="10" applyNumberFormat="1" applyFont="1" applyFill="1" applyBorder="1" applyAlignment="1" applyProtection="1">
      <alignment horizontal="left" vertical="center" wrapText="1"/>
      <protection locked="0"/>
    </xf>
    <xf numFmtId="49" fontId="92" fillId="0" borderId="89" xfId="10" applyNumberFormat="1" applyFont="1" applyFill="1" applyBorder="1" applyAlignment="1" applyProtection="1">
      <alignment horizontal="left" vertical="center" wrapText="1"/>
      <protection locked="0"/>
    </xf>
    <xf numFmtId="0" fontId="87" fillId="0" borderId="0" xfId="10" applyNumberFormat="1" applyFont="1" applyFill="1" applyBorder="1" applyAlignment="1" applyProtection="1">
      <alignment horizontal="center" vertical="center" wrapText="1"/>
      <protection locked="0"/>
    </xf>
    <xf numFmtId="0" fontId="88" fillId="0" borderId="0" xfId="10" applyNumberFormat="1" applyFont="1" applyFill="1" applyBorder="1" applyAlignment="1" applyProtection="1">
      <alignment horizontal="center" vertical="center" wrapText="1"/>
      <protection locked="0"/>
    </xf>
    <xf numFmtId="49" fontId="89" fillId="16" borderId="0" xfId="10" applyNumberFormat="1" applyFont="1" applyFill="1" applyBorder="1" applyAlignment="1" applyProtection="1">
      <alignment horizontal="center" vertical="center" wrapText="1"/>
      <protection locked="0"/>
    </xf>
    <xf numFmtId="49" fontId="86" fillId="0" borderId="17" xfId="10" applyNumberFormat="1" applyFont="1" applyFill="1" applyBorder="1" applyAlignment="1" applyProtection="1">
      <alignment horizontal="center" vertical="center" wrapText="1"/>
      <protection locked="0"/>
    </xf>
    <xf numFmtId="49" fontId="86" fillId="0" borderId="90" xfId="10" applyNumberFormat="1" applyFont="1" applyFill="1" applyBorder="1" applyAlignment="1" applyProtection="1">
      <alignment horizontal="left" vertical="center" wrapText="1"/>
      <protection locked="0"/>
    </xf>
    <xf numFmtId="0" fontId="94" fillId="0" borderId="90" xfId="10" applyNumberFormat="1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center" vertical="center" wrapText="1"/>
    </xf>
    <xf numFmtId="49" fontId="94" fillId="16" borderId="104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89" xfId="10" applyNumberFormat="1" applyFont="1" applyFill="1" applyBorder="1" applyAlignment="1" applyProtection="1">
      <alignment horizontal="left" vertical="center" wrapText="1"/>
      <protection locked="0"/>
    </xf>
    <xf numFmtId="49" fontId="92" fillId="16" borderId="89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115" xfId="10" applyNumberFormat="1" applyFont="1" applyFill="1" applyBorder="1" applyAlignment="1" applyProtection="1">
      <alignment horizontal="center" vertical="center" wrapText="1"/>
      <protection locked="0"/>
    </xf>
    <xf numFmtId="49" fontId="92" fillId="16" borderId="90" xfId="10" applyNumberFormat="1" applyFont="1" applyFill="1" applyBorder="1" applyAlignment="1" applyProtection="1">
      <alignment horizontal="left" vertical="center" wrapText="1"/>
      <protection locked="0"/>
    </xf>
    <xf numFmtId="0" fontId="95" fillId="0" borderId="90" xfId="0" applyFont="1" applyBorder="1" applyAlignment="1">
      <alignment horizontal="left" vertical="center" wrapText="1"/>
    </xf>
    <xf numFmtId="0" fontId="0" fillId="6" borderId="17" xfId="0" applyFill="1" applyBorder="1" applyAlignment="1">
      <alignment horizontal="center" vertical="center" wrapText="1"/>
    </xf>
    <xf numFmtId="49" fontId="94" fillId="0" borderId="90" xfId="10" applyNumberFormat="1" applyFont="1" applyFill="1" applyBorder="1" applyAlignment="1" applyProtection="1">
      <alignment vertical="center" wrapText="1"/>
      <protection locked="0"/>
    </xf>
    <xf numFmtId="0" fontId="95" fillId="0" borderId="90" xfId="0" applyFont="1" applyBorder="1" applyAlignment="1">
      <alignment vertical="center" wrapText="1"/>
    </xf>
    <xf numFmtId="49" fontId="86" fillId="0" borderId="115" xfId="10" applyNumberFormat="1" applyFont="1" applyFill="1" applyBorder="1" applyAlignment="1" applyProtection="1">
      <alignment horizontal="center" vertical="center" wrapText="1"/>
      <protection locked="0"/>
    </xf>
    <xf numFmtId="49" fontId="86" fillId="0" borderId="116" xfId="10" applyNumberFormat="1" applyFont="1" applyFill="1" applyBorder="1" applyAlignment="1" applyProtection="1">
      <alignment horizontal="center" vertical="center" wrapText="1"/>
      <protection locked="0"/>
    </xf>
    <xf numFmtId="49" fontId="86" fillId="0" borderId="89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89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104" xfId="10" applyNumberFormat="1" applyFont="1" applyFill="1" applyBorder="1" applyAlignment="1" applyProtection="1">
      <alignment horizontal="left" vertical="center" wrapText="1"/>
      <protection locked="0"/>
    </xf>
    <xf numFmtId="49" fontId="86" fillId="0" borderId="110" xfId="10" applyNumberFormat="1" applyFont="1" applyFill="1" applyBorder="1" applyAlignment="1" applyProtection="1">
      <alignment horizontal="center" vertical="center" wrapText="1"/>
      <protection locked="0"/>
    </xf>
    <xf numFmtId="49" fontId="92" fillId="0" borderId="90" xfId="10" applyNumberFormat="1" applyFont="1" applyFill="1" applyBorder="1" applyAlignment="1" applyProtection="1">
      <alignment horizontal="left" vertical="center" wrapText="1"/>
      <protection locked="0"/>
    </xf>
    <xf numFmtId="49" fontId="86" fillId="0" borderId="119" xfId="10" applyNumberFormat="1" applyFont="1" applyFill="1" applyBorder="1" applyAlignment="1" applyProtection="1">
      <alignment horizontal="center" vertical="center" wrapText="1"/>
      <protection locked="0"/>
    </xf>
    <xf numFmtId="0" fontId="0" fillId="6" borderId="17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49" fontId="86" fillId="0" borderId="90" xfId="10" applyNumberFormat="1" applyFont="1" applyFill="1" applyBorder="1" applyAlignment="1" applyProtection="1">
      <alignment vertical="center" wrapText="1"/>
      <protection locked="0"/>
    </xf>
    <xf numFmtId="0" fontId="0" fillId="0" borderId="90" xfId="0" applyFont="1" applyBorder="1" applyAlignment="1">
      <alignment vertical="center" wrapText="1"/>
    </xf>
    <xf numFmtId="49" fontId="92" fillId="0" borderId="0" xfId="10" applyNumberFormat="1" applyFont="1" applyFill="1" applyBorder="1" applyAlignment="1" applyProtection="1">
      <alignment horizontal="left" vertical="center" wrapText="1"/>
      <protection locked="0"/>
    </xf>
    <xf numFmtId="49" fontId="86" fillId="0" borderId="18" xfId="10" applyNumberFormat="1" applyFont="1" applyFill="1" applyBorder="1" applyAlignment="1" applyProtection="1">
      <alignment horizontal="center" vertical="center" wrapText="1"/>
      <protection locked="0"/>
    </xf>
    <xf numFmtId="49" fontId="94" fillId="16" borderId="89" xfId="10" applyNumberFormat="1" applyFont="1" applyFill="1" applyBorder="1" applyAlignment="1" applyProtection="1">
      <alignment horizontal="left" vertical="center" wrapText="1"/>
      <protection locked="0"/>
    </xf>
    <xf numFmtId="0" fontId="0" fillId="6" borderId="14" xfId="0" applyFill="1" applyBorder="1" applyAlignment="1">
      <alignment horizontal="center" vertical="center" wrapText="1"/>
    </xf>
    <xf numFmtId="49" fontId="92" fillId="20" borderId="89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89" xfId="0" applyFont="1" applyBorder="1" applyAlignment="1">
      <alignment horizontal="left" vertical="center" wrapText="1"/>
    </xf>
    <xf numFmtId="49" fontId="86" fillId="20" borderId="90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90" xfId="0" applyFont="1" applyBorder="1" applyAlignment="1">
      <alignment horizontal="left" vertical="center" wrapText="1"/>
    </xf>
    <xf numFmtId="49" fontId="94" fillId="16" borderId="126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126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132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133" xfId="10" applyNumberFormat="1" applyFont="1" applyFill="1" applyBorder="1" applyAlignment="1" applyProtection="1">
      <alignment horizontal="center" vertical="center" wrapText="1"/>
      <protection locked="0"/>
    </xf>
    <xf numFmtId="49" fontId="92" fillId="16" borderId="135" xfId="10" applyNumberFormat="1" applyFont="1" applyFill="1" applyBorder="1" applyAlignment="1" applyProtection="1">
      <alignment horizontal="left" vertical="center" wrapText="1"/>
      <protection locked="0"/>
    </xf>
    <xf numFmtId="0" fontId="66" fillId="0" borderId="136" xfId="0" applyFont="1" applyBorder="1" applyAlignment="1">
      <alignment horizontal="left" vertical="center" wrapText="1"/>
    </xf>
    <xf numFmtId="49" fontId="86" fillId="16" borderId="138" xfId="10" applyNumberFormat="1" applyFont="1" applyFill="1" applyBorder="1" applyAlignment="1" applyProtection="1">
      <alignment horizontal="left" vertical="center" wrapText="1"/>
      <protection locked="0"/>
    </xf>
    <xf numFmtId="49" fontId="86" fillId="0" borderId="126" xfId="10" applyNumberFormat="1" applyFont="1" applyFill="1" applyBorder="1" applyAlignment="1" applyProtection="1">
      <alignment horizontal="left" vertical="center" wrapText="1"/>
      <protection locked="0"/>
    </xf>
    <xf numFmtId="0" fontId="94" fillId="0" borderId="126" xfId="10" applyNumberFormat="1" applyFont="1" applyFill="1" applyBorder="1" applyAlignment="1" applyProtection="1">
      <alignment horizontal="left" vertical="center"/>
      <protection locked="0"/>
    </xf>
    <xf numFmtId="49" fontId="92" fillId="16" borderId="126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123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126" xfId="10" applyNumberFormat="1" applyFont="1" applyFill="1" applyBorder="1" applyAlignment="1" applyProtection="1">
      <alignment horizontal="center" vertical="center" wrapText="1"/>
      <protection locked="0"/>
    </xf>
    <xf numFmtId="0" fontId="95" fillId="0" borderId="126" xfId="0" applyFont="1" applyBorder="1" applyAlignment="1">
      <alignment horizontal="left" vertical="center" wrapText="1"/>
    </xf>
    <xf numFmtId="49" fontId="86" fillId="16" borderId="146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147" xfId="10" applyNumberFormat="1" applyFont="1" applyFill="1" applyBorder="1" applyAlignment="1" applyProtection="1">
      <alignment horizontal="center" vertical="center" wrapText="1"/>
      <protection locked="0"/>
    </xf>
    <xf numFmtId="49" fontId="92" fillId="20" borderId="146" xfId="10" applyNumberFormat="1" applyFont="1" applyFill="1" applyBorder="1" applyAlignment="1" applyProtection="1">
      <alignment horizontal="left" vertical="center" wrapText="1"/>
      <protection locked="0"/>
    </xf>
    <xf numFmtId="49" fontId="92" fillId="20" borderId="148" xfId="10" applyNumberFormat="1" applyFont="1" applyFill="1" applyBorder="1" applyAlignment="1" applyProtection="1">
      <alignment horizontal="left" vertical="center" wrapText="1"/>
      <protection locked="0"/>
    </xf>
    <xf numFmtId="49" fontId="86" fillId="20" borderId="149" xfId="10" applyNumberFormat="1" applyFont="1" applyFill="1" applyBorder="1" applyAlignment="1" applyProtection="1">
      <alignment horizontal="left" vertical="center" wrapText="1"/>
      <protection locked="0"/>
    </xf>
    <xf numFmtId="49" fontId="86" fillId="20" borderId="150" xfId="10" applyNumberFormat="1" applyFont="1" applyFill="1" applyBorder="1" applyAlignment="1" applyProtection="1">
      <alignment horizontal="left" vertical="center" wrapText="1"/>
      <protection locked="0"/>
    </xf>
    <xf numFmtId="49" fontId="94" fillId="16" borderId="148" xfId="10" applyNumberFormat="1" applyFont="1" applyFill="1" applyBorder="1" applyAlignment="1" applyProtection="1">
      <alignment horizontal="left" vertical="center" wrapText="1"/>
      <protection locked="0"/>
    </xf>
    <xf numFmtId="49" fontId="86" fillId="0" borderId="149" xfId="10" applyNumberFormat="1" applyFont="1" applyFill="1" applyBorder="1" applyAlignment="1" applyProtection="1">
      <alignment horizontal="left" vertical="center" wrapText="1"/>
      <protection locked="0"/>
    </xf>
    <xf numFmtId="49" fontId="86" fillId="0" borderId="150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17" xfId="10" applyNumberFormat="1" applyFont="1" applyFill="1" applyBorder="1" applyAlignment="1" applyProtection="1">
      <alignment horizontal="center" vertical="center" wrapText="1"/>
      <protection locked="0"/>
    </xf>
    <xf numFmtId="0" fontId="95" fillId="0" borderId="89" xfId="0" applyFont="1" applyBorder="1" applyAlignment="1">
      <alignment horizontal="left" vertical="center" wrapText="1"/>
    </xf>
    <xf numFmtId="49" fontId="94" fillId="16" borderId="123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149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150" xfId="10" applyNumberFormat="1" applyFont="1" applyFill="1" applyBorder="1" applyAlignment="1" applyProtection="1">
      <alignment horizontal="left" vertical="center" wrapText="1"/>
      <protection locked="0"/>
    </xf>
    <xf numFmtId="49" fontId="92" fillId="16" borderId="158" xfId="10" applyNumberFormat="1" applyFont="1" applyFill="1" applyBorder="1" applyAlignment="1" applyProtection="1">
      <alignment horizontal="left" vertical="center" wrapText="1"/>
      <protection locked="0"/>
    </xf>
    <xf numFmtId="49" fontId="92" fillId="16" borderId="26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159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160" xfId="10" applyNumberFormat="1" applyFont="1" applyFill="1" applyBorder="1" applyAlignment="1" applyProtection="1">
      <alignment horizontal="left" vertical="center" wrapText="1"/>
      <protection locked="0"/>
    </xf>
    <xf numFmtId="49" fontId="94" fillId="16" borderId="163" xfId="10" applyNumberFormat="1" applyFont="1" applyFill="1" applyBorder="1" applyAlignment="1" applyProtection="1">
      <alignment horizontal="left" vertical="center" wrapText="1"/>
      <protection locked="0"/>
    </xf>
    <xf numFmtId="0" fontId="95" fillId="0" borderId="26" xfId="0" applyFont="1" applyBorder="1" applyAlignment="1">
      <alignment horizontal="left" vertical="center" wrapText="1"/>
    </xf>
    <xf numFmtId="0" fontId="66" fillId="0" borderId="89" xfId="0" applyFont="1" applyBorder="1" applyAlignment="1">
      <alignment horizontal="left" vertical="center" wrapText="1"/>
    </xf>
    <xf numFmtId="49" fontId="86" fillId="16" borderId="164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164" xfId="0" applyFont="1" applyBorder="1" applyAlignment="1">
      <alignment horizontal="left" vertical="center" wrapText="1"/>
    </xf>
    <xf numFmtId="49" fontId="86" fillId="16" borderId="11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6" xfId="1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49" fontId="86" fillId="0" borderId="0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center" vertical="center" wrapText="1"/>
    </xf>
    <xf numFmtId="49" fontId="92" fillId="0" borderId="108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161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0" xfId="1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49" fontId="92" fillId="16" borderId="164" xfId="10" applyNumberFormat="1" applyFont="1" applyFill="1" applyBorder="1" applyAlignment="1" applyProtection="1">
      <alignment horizontal="left" vertical="center" wrapText="1"/>
      <protection locked="0"/>
    </xf>
    <xf numFmtId="0" fontId="66" fillId="0" borderId="164" xfId="0" applyFont="1" applyBorder="1" applyAlignment="1">
      <alignment horizontal="left" vertical="center" wrapText="1"/>
    </xf>
    <xf numFmtId="49" fontId="86" fillId="0" borderId="164" xfId="10" applyNumberFormat="1" applyFont="1" applyFill="1" applyBorder="1" applyAlignment="1" applyProtection="1">
      <alignment horizontal="left" vertical="center" wrapText="1"/>
      <protection locked="0"/>
    </xf>
    <xf numFmtId="49" fontId="86" fillId="0" borderId="161" xfId="10" applyNumberFormat="1" applyFont="1" applyFill="1" applyBorder="1" applyAlignment="1" applyProtection="1">
      <alignment horizontal="left" vertical="center" wrapText="1"/>
      <protection locked="0"/>
    </xf>
    <xf numFmtId="49" fontId="94" fillId="16" borderId="164" xfId="10" applyNumberFormat="1" applyFont="1" applyFill="1" applyBorder="1" applyAlignment="1" applyProtection="1">
      <alignment horizontal="left" vertical="center" wrapText="1"/>
      <protection locked="0"/>
    </xf>
    <xf numFmtId="49" fontId="94" fillId="16" borderId="161" xfId="10" applyNumberFormat="1" applyFont="1" applyFill="1" applyBorder="1" applyAlignment="1" applyProtection="1">
      <alignment horizontal="left" vertical="center" wrapText="1"/>
      <protection locked="0"/>
    </xf>
    <xf numFmtId="49" fontId="92" fillId="16" borderId="108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161" xfId="0" applyFont="1" applyBorder="1" applyAlignment="1">
      <alignment horizontal="left" vertical="center" wrapText="1"/>
    </xf>
    <xf numFmtId="49" fontId="86" fillId="0" borderId="14" xfId="10" applyNumberFormat="1" applyFont="1" applyFill="1" applyBorder="1" applyAlignment="1" applyProtection="1">
      <alignment horizontal="center" vertical="center" wrapText="1"/>
      <protection locked="0"/>
    </xf>
    <xf numFmtId="49" fontId="92" fillId="16" borderId="163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189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190" xfId="10" applyNumberFormat="1" applyFont="1" applyFill="1" applyBorder="1" applyAlignment="1" applyProtection="1">
      <alignment horizontal="left" vertical="center" wrapText="1"/>
      <protection locked="0"/>
    </xf>
    <xf numFmtId="49" fontId="86" fillId="0" borderId="194" xfId="10" applyNumberFormat="1" applyFont="1" applyFill="1" applyBorder="1" applyAlignment="1" applyProtection="1">
      <alignment horizontal="left" vertical="center" wrapText="1"/>
      <protection locked="0"/>
    </xf>
    <xf numFmtId="0" fontId="94" fillId="0" borderId="194" xfId="10" applyNumberFormat="1" applyFont="1" applyFill="1" applyBorder="1" applyAlignment="1" applyProtection="1">
      <alignment horizontal="left" vertical="center"/>
      <protection locked="0"/>
    </xf>
    <xf numFmtId="49" fontId="94" fillId="16" borderId="194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194" xfId="10" applyNumberFormat="1" applyFont="1" applyFill="1" applyBorder="1" applyAlignment="1" applyProtection="1">
      <alignment horizontal="left" vertical="center" wrapText="1"/>
      <protection locked="0"/>
    </xf>
    <xf numFmtId="0" fontId="94" fillId="0" borderId="164" xfId="10" applyNumberFormat="1" applyFont="1" applyFill="1" applyBorder="1" applyAlignment="1" applyProtection="1">
      <alignment horizontal="left" vertical="center"/>
      <protection locked="0"/>
    </xf>
    <xf numFmtId="49" fontId="86" fillId="0" borderId="108" xfId="10" applyNumberFormat="1" applyFont="1" applyFill="1" applyBorder="1" applyAlignment="1" applyProtection="1">
      <alignment horizontal="left" vertical="center" wrapText="1"/>
      <protection locked="0"/>
    </xf>
    <xf numFmtId="49" fontId="86" fillId="0" borderId="109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194" xfId="0" applyBorder="1" applyAlignment="1">
      <alignment horizontal="left" vertical="center" wrapText="1"/>
    </xf>
    <xf numFmtId="49" fontId="86" fillId="16" borderId="205" xfId="10" applyNumberFormat="1" applyFont="1" applyFill="1" applyBorder="1" applyAlignment="1" applyProtection="1">
      <alignment horizontal="left" vertical="center" wrapText="1"/>
      <protection locked="0"/>
    </xf>
    <xf numFmtId="49" fontId="92" fillId="16" borderId="194" xfId="10" applyNumberFormat="1" applyFont="1" applyFill="1" applyBorder="1" applyAlignment="1" applyProtection="1">
      <alignment horizontal="left" vertical="center" wrapText="1"/>
      <protection locked="0"/>
    </xf>
    <xf numFmtId="0" fontId="95" fillId="0" borderId="194" xfId="0" applyFont="1" applyBorder="1" applyAlignment="1">
      <alignment horizontal="left" vertical="center" wrapText="1"/>
    </xf>
    <xf numFmtId="0" fontId="0" fillId="0" borderId="194" xfId="0" applyFont="1" applyBorder="1" applyAlignment="1">
      <alignment horizontal="left" vertical="center" wrapText="1"/>
    </xf>
    <xf numFmtId="49" fontId="86" fillId="16" borderId="211" xfId="10" applyNumberFormat="1" applyFont="1" applyFill="1" applyBorder="1" applyAlignment="1" applyProtection="1">
      <alignment horizontal="left" vertical="center" wrapText="1"/>
      <protection locked="0"/>
    </xf>
    <xf numFmtId="49" fontId="86" fillId="0" borderId="211" xfId="10" applyNumberFormat="1" applyFont="1" applyFill="1" applyBorder="1" applyAlignment="1" applyProtection="1">
      <alignment horizontal="left" vertical="center" wrapText="1"/>
      <protection locked="0"/>
    </xf>
    <xf numFmtId="49" fontId="86" fillId="0" borderId="19" xfId="10" applyNumberFormat="1" applyFont="1" applyFill="1" applyBorder="1" applyAlignment="1" applyProtection="1">
      <alignment horizontal="center" vertical="center" wrapText="1"/>
      <protection locked="0"/>
    </xf>
    <xf numFmtId="49" fontId="92" fillId="0" borderId="217" xfId="10" applyNumberFormat="1" applyFont="1" applyFill="1" applyBorder="1" applyAlignment="1" applyProtection="1">
      <alignment horizontal="left" vertical="center" wrapText="1"/>
      <protection locked="0"/>
    </xf>
    <xf numFmtId="49" fontId="93" fillId="0" borderId="17" xfId="10" applyNumberFormat="1" applyFont="1" applyFill="1" applyBorder="1" applyAlignment="1" applyProtection="1">
      <alignment horizontal="center" vertical="center" wrapText="1"/>
      <protection locked="0"/>
    </xf>
    <xf numFmtId="49" fontId="86" fillId="0" borderId="219" xfId="10" applyNumberFormat="1" applyFont="1" applyFill="1" applyBorder="1" applyAlignment="1" applyProtection="1">
      <alignment horizontal="left" vertical="center" wrapText="1"/>
      <protection locked="0"/>
    </xf>
    <xf numFmtId="49" fontId="86" fillId="0" borderId="220" xfId="10" applyNumberFormat="1" applyFont="1" applyFill="1" applyBorder="1" applyAlignment="1" applyProtection="1">
      <alignment horizontal="left" vertical="center" wrapText="1"/>
      <protection locked="0"/>
    </xf>
    <xf numFmtId="49" fontId="92" fillId="16" borderId="201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220" xfId="10" applyNumberFormat="1" applyFont="1" applyFill="1" applyBorder="1" applyAlignment="1" applyProtection="1">
      <alignment horizontal="left" vertical="center" wrapText="1"/>
      <protection locked="0"/>
    </xf>
    <xf numFmtId="49" fontId="94" fillId="16" borderId="220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89" xfId="0" applyBorder="1" applyAlignment="1">
      <alignment horizontal="left" vertical="center" wrapText="1"/>
    </xf>
    <xf numFmtId="49" fontId="86" fillId="20" borderId="220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220" xfId="0" applyFont="1" applyBorder="1" applyAlignment="1">
      <alignment horizontal="left" vertical="center" wrapText="1"/>
    </xf>
    <xf numFmtId="49" fontId="92" fillId="16" borderId="220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219" xfId="10" applyNumberFormat="1" applyFont="1" applyFill="1" applyBorder="1" applyAlignment="1" applyProtection="1">
      <alignment horizontal="left" vertical="center" wrapText="1"/>
      <protection locked="0"/>
    </xf>
    <xf numFmtId="49" fontId="92" fillId="16" borderId="3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244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220" xfId="10" applyNumberFormat="1" applyFont="1" applyFill="1" applyBorder="1" applyAlignment="1" applyProtection="1">
      <alignment horizontal="center" vertical="center" wrapText="1"/>
      <protection locked="0"/>
    </xf>
    <xf numFmtId="49" fontId="92" fillId="0" borderId="220" xfId="10" applyNumberFormat="1" applyFont="1" applyFill="1" applyBorder="1" applyAlignment="1" applyProtection="1">
      <alignment horizontal="left" vertical="center" wrapText="1"/>
      <protection locked="0"/>
    </xf>
    <xf numFmtId="0" fontId="94" fillId="0" borderId="220" xfId="10" applyNumberFormat="1" applyFont="1" applyFill="1" applyBorder="1" applyAlignment="1" applyProtection="1">
      <alignment horizontal="left" vertical="center"/>
      <protection locked="0"/>
    </xf>
    <xf numFmtId="49" fontId="94" fillId="16" borderId="219" xfId="10" applyNumberFormat="1" applyFont="1" applyFill="1" applyBorder="1" applyAlignment="1" applyProtection="1">
      <alignment horizontal="left" vertical="center" wrapText="1"/>
      <protection locked="0"/>
    </xf>
    <xf numFmtId="49" fontId="92" fillId="0" borderId="17" xfId="10" applyNumberFormat="1" applyFont="1" applyFill="1" applyBorder="1" applyAlignment="1" applyProtection="1">
      <alignment horizontal="center" vertical="center" wrapText="1"/>
      <protection locked="0"/>
    </xf>
    <xf numFmtId="49" fontId="86" fillId="0" borderId="205" xfId="10" applyNumberFormat="1" applyFont="1" applyFill="1" applyBorder="1" applyAlignment="1" applyProtection="1">
      <alignment horizontal="left" vertical="center" wrapText="1"/>
      <protection locked="0"/>
    </xf>
    <xf numFmtId="0" fontId="94" fillId="0" borderId="201" xfId="10" applyNumberFormat="1" applyFont="1" applyFill="1" applyBorder="1" applyAlignment="1" applyProtection="1">
      <alignment horizontal="left" vertical="center"/>
      <protection locked="0"/>
    </xf>
    <xf numFmtId="49" fontId="94" fillId="16" borderId="231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231" xfId="10" applyNumberFormat="1" applyFont="1" applyFill="1" applyBorder="1" applyAlignment="1" applyProtection="1">
      <alignment horizontal="left" vertical="center" wrapText="1"/>
      <protection locked="0"/>
    </xf>
    <xf numFmtId="49" fontId="86" fillId="0" borderId="231" xfId="10" applyNumberFormat="1" applyFont="1" applyFill="1" applyBorder="1" applyAlignment="1" applyProtection="1">
      <alignment horizontal="left" vertical="center" wrapText="1"/>
      <protection locked="0"/>
    </xf>
    <xf numFmtId="49" fontId="86" fillId="0" borderId="195" xfId="10" applyNumberFormat="1" applyFont="1" applyFill="1" applyBorder="1" applyAlignment="1" applyProtection="1">
      <alignment horizontal="left" vertical="center" wrapText="1"/>
      <protection locked="0"/>
    </xf>
    <xf numFmtId="0" fontId="94" fillId="0" borderId="89" xfId="10" applyNumberFormat="1" applyFont="1" applyFill="1" applyBorder="1" applyAlignment="1" applyProtection="1">
      <alignment horizontal="left" vertical="center"/>
      <protection locked="0"/>
    </xf>
    <xf numFmtId="49" fontId="86" fillId="16" borderId="18" xfId="10" applyNumberFormat="1" applyFont="1" applyFill="1" applyBorder="1" applyAlignment="1" applyProtection="1">
      <alignment horizontal="center" vertical="center" wrapText="1"/>
      <protection locked="0"/>
    </xf>
    <xf numFmtId="0" fontId="95" fillId="0" borderId="220" xfId="0" applyFont="1" applyBorder="1" applyAlignment="1">
      <alignment horizontal="left" vertical="center" wrapText="1"/>
    </xf>
    <xf numFmtId="49" fontId="86" fillId="16" borderId="195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196" xfId="10" applyNumberFormat="1" applyFont="1" applyFill="1" applyBorder="1" applyAlignment="1" applyProtection="1">
      <alignment horizontal="left" vertical="center" wrapText="1"/>
      <protection locked="0"/>
    </xf>
    <xf numFmtId="49" fontId="94" fillId="0" borderId="205" xfId="10" applyNumberFormat="1" applyFont="1" applyFill="1" applyBorder="1" applyAlignment="1" applyProtection="1">
      <alignment horizontal="left" vertical="center" wrapText="1"/>
      <protection locked="0"/>
    </xf>
    <xf numFmtId="0" fontId="66" fillId="0" borderId="220" xfId="0" applyFont="1" applyBorder="1" applyAlignment="1">
      <alignment horizontal="left" vertical="center" wrapText="1"/>
    </xf>
    <xf numFmtId="0" fontId="0" fillId="0" borderId="220" xfId="0" applyBorder="1" applyAlignment="1">
      <alignment horizontal="left" vertical="center" wrapText="1"/>
    </xf>
    <xf numFmtId="49" fontId="86" fillId="16" borderId="238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239" xfId="10" applyNumberFormat="1" applyFont="1" applyFill="1" applyBorder="1" applyAlignment="1" applyProtection="1">
      <alignment horizontal="center" vertical="center" wrapText="1"/>
      <protection locked="0"/>
    </xf>
    <xf numFmtId="49" fontId="86" fillId="20" borderId="17" xfId="10" applyNumberFormat="1" applyFont="1" applyFill="1" applyBorder="1" applyAlignment="1" applyProtection="1">
      <alignment horizontal="center" vertical="center" wrapText="1"/>
      <protection locked="0"/>
    </xf>
    <xf numFmtId="49" fontId="94" fillId="16" borderId="195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19" xfId="10" applyNumberFormat="1" applyFont="1" applyFill="1" applyBorder="1" applyAlignment="1" applyProtection="1">
      <alignment horizontal="center" vertical="center" wrapText="1"/>
      <protection locked="0"/>
    </xf>
    <xf numFmtId="49" fontId="86" fillId="0" borderId="232" xfId="10" applyNumberFormat="1" applyFont="1" applyFill="1" applyBorder="1" applyAlignment="1" applyProtection="1">
      <alignment horizontal="left" vertical="center" wrapText="1"/>
      <protection locked="0"/>
    </xf>
    <xf numFmtId="0" fontId="94" fillId="0" borderId="108" xfId="10" applyNumberFormat="1" applyFont="1" applyFill="1" applyBorder="1" applyAlignment="1" applyProtection="1">
      <alignment horizontal="left" vertical="center"/>
      <protection locked="0"/>
    </xf>
    <xf numFmtId="49" fontId="92" fillId="16" borderId="6" xfId="10" applyNumberFormat="1" applyFont="1" applyFill="1" applyBorder="1" applyAlignment="1" applyProtection="1">
      <alignment horizontal="center" vertical="center" wrapText="1"/>
      <protection locked="0"/>
    </xf>
    <xf numFmtId="49" fontId="92" fillId="16" borderId="0" xfId="10" applyNumberFormat="1" applyFont="1" applyFill="1" applyBorder="1" applyAlignment="1" applyProtection="1">
      <alignment horizontal="center" vertical="center" wrapText="1"/>
      <protection locked="0"/>
    </xf>
    <xf numFmtId="49" fontId="92" fillId="17" borderId="29" xfId="10" applyNumberFormat="1" applyFont="1" applyFill="1" applyBorder="1" applyAlignment="1" applyProtection="1">
      <alignment horizontal="center" vertical="top" wrapText="1"/>
      <protection locked="0"/>
    </xf>
    <xf numFmtId="49" fontId="92" fillId="17" borderId="61" xfId="10" applyNumberFormat="1" applyFont="1" applyFill="1" applyBorder="1" applyAlignment="1" applyProtection="1">
      <alignment horizontal="center" vertical="top" wrapText="1"/>
      <protection locked="0"/>
    </xf>
    <xf numFmtId="49" fontId="9" fillId="12" borderId="29" xfId="1" applyNumberFormat="1" applyFont="1" applyFill="1" applyBorder="1" applyAlignment="1">
      <alignment horizontal="left" vertical="center"/>
    </xf>
    <xf numFmtId="49" fontId="9" fillId="12" borderId="61" xfId="1" applyNumberFormat="1" applyFont="1" applyFill="1" applyBorder="1" applyAlignment="1">
      <alignment horizontal="left" vertical="center"/>
    </xf>
    <xf numFmtId="0" fontId="7" fillId="0" borderId="63" xfId="1" applyFont="1" applyFill="1" applyBorder="1" applyAlignment="1">
      <alignment horizontal="left" vertical="center"/>
    </xf>
    <xf numFmtId="0" fontId="86" fillId="0" borderId="3" xfId="10" applyNumberFormat="1" applyFont="1" applyFill="1" applyBorder="1" applyAlignment="1" applyProtection="1">
      <alignment horizontal="left" vertical="center"/>
      <protection locked="0"/>
    </xf>
    <xf numFmtId="0" fontId="86" fillId="0" borderId="78" xfId="10" applyNumberFormat="1" applyFont="1" applyFill="1" applyBorder="1" applyAlignment="1" applyProtection="1">
      <alignment horizontal="left" vertical="center"/>
      <protection locked="0"/>
    </xf>
    <xf numFmtId="0" fontId="8" fillId="0" borderId="257" xfId="1" applyFont="1" applyFill="1" applyBorder="1" applyAlignment="1">
      <alignment horizontal="left" vertical="center"/>
    </xf>
    <xf numFmtId="0" fontId="94" fillId="0" borderId="247" xfId="10" applyNumberFormat="1" applyFont="1" applyFill="1" applyBorder="1" applyAlignment="1" applyProtection="1">
      <alignment horizontal="left" vertical="center"/>
      <protection locked="0"/>
    </xf>
    <xf numFmtId="0" fontId="94" fillId="0" borderId="258" xfId="10" applyNumberFormat="1" applyFont="1" applyFill="1" applyBorder="1" applyAlignment="1" applyProtection="1">
      <alignment horizontal="left" vertical="center"/>
      <protection locked="0"/>
    </xf>
    <xf numFmtId="0" fontId="8" fillId="0" borderId="257" xfId="1" applyFont="1" applyFill="1" applyBorder="1" applyAlignment="1">
      <alignment horizontal="left" vertical="center" wrapText="1"/>
    </xf>
    <xf numFmtId="49" fontId="94" fillId="16" borderId="244" xfId="10" applyNumberFormat="1" applyFont="1" applyFill="1" applyBorder="1" applyAlignment="1" applyProtection="1">
      <alignment horizontal="left" vertical="center" wrapText="1"/>
      <protection locked="0"/>
    </xf>
    <xf numFmtId="49" fontId="94" fillId="16" borderId="245" xfId="10" applyNumberFormat="1" applyFont="1" applyFill="1" applyBorder="1" applyAlignment="1" applyProtection="1">
      <alignment horizontal="left" vertical="center" wrapText="1"/>
      <protection locked="0"/>
    </xf>
    <xf numFmtId="49" fontId="86" fillId="0" borderId="248" xfId="10" applyNumberFormat="1" applyFont="1" applyFill="1" applyBorder="1" applyAlignment="1" applyProtection="1">
      <alignment horizontal="left" vertical="center" wrapText="1"/>
      <protection locked="0"/>
    </xf>
    <xf numFmtId="49" fontId="86" fillId="0" borderId="249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247" xfId="10" applyNumberFormat="1" applyFont="1" applyFill="1" applyBorder="1" applyAlignment="1" applyProtection="1">
      <alignment horizontal="center" vertical="center" wrapText="1"/>
      <protection locked="0"/>
    </xf>
    <xf numFmtId="49" fontId="86" fillId="16" borderId="248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249" xfId="10" applyNumberFormat="1" applyFont="1" applyFill="1" applyBorder="1" applyAlignment="1" applyProtection="1">
      <alignment horizontal="left" vertical="center" wrapText="1"/>
      <protection locked="0"/>
    </xf>
    <xf numFmtId="49" fontId="86" fillId="16" borderId="248" xfId="10" applyNumberFormat="1" applyFont="1" applyFill="1" applyBorder="1" applyAlignment="1" applyProtection="1">
      <alignment horizontal="center" vertical="center" wrapText="1"/>
      <protection locked="0"/>
    </xf>
    <xf numFmtId="49" fontId="92" fillId="18" borderId="29" xfId="10" applyNumberFormat="1" applyFont="1" applyFill="1" applyBorder="1" applyAlignment="1" applyProtection="1">
      <alignment horizontal="center" vertical="center" wrapText="1"/>
      <protection locked="0"/>
    </xf>
    <xf numFmtId="49" fontId="92" fillId="18" borderId="61" xfId="10" applyNumberFormat="1" applyFont="1" applyFill="1" applyBorder="1" applyAlignment="1" applyProtection="1">
      <alignment horizontal="center" vertical="center" wrapText="1"/>
      <protection locked="0"/>
    </xf>
    <xf numFmtId="0" fontId="7" fillId="0" borderId="257" xfId="1" applyFont="1" applyFill="1" applyBorder="1" applyAlignment="1">
      <alignment horizontal="left" vertical="center"/>
    </xf>
    <xf numFmtId="0" fontId="86" fillId="0" borderId="247" xfId="10" applyNumberFormat="1" applyFont="1" applyFill="1" applyBorder="1" applyAlignment="1" applyProtection="1">
      <alignment horizontal="left" vertical="center"/>
      <protection locked="0"/>
    </xf>
    <xf numFmtId="0" fontId="86" fillId="0" borderId="258" xfId="10" applyNumberFormat="1" applyFont="1" applyFill="1" applyBorder="1" applyAlignment="1" applyProtection="1">
      <alignment horizontal="left" vertical="center"/>
      <protection locked="0"/>
    </xf>
    <xf numFmtId="0" fontId="7" fillId="0" borderId="49" xfId="1" applyFont="1" applyFill="1" applyBorder="1" applyAlignment="1">
      <alignment horizontal="left" vertical="center"/>
    </xf>
    <xf numFmtId="0" fontId="86" fillId="0" borderId="74" xfId="10" applyNumberFormat="1" applyFont="1" applyFill="1" applyBorder="1" applyAlignment="1" applyProtection="1">
      <alignment horizontal="left" vertical="center"/>
      <protection locked="0"/>
    </xf>
    <xf numFmtId="0" fontId="86" fillId="0" borderId="50" xfId="10" applyNumberFormat="1" applyFont="1" applyFill="1" applyBorder="1" applyAlignment="1" applyProtection="1">
      <alignment horizontal="left" vertical="center"/>
      <protection locked="0"/>
    </xf>
    <xf numFmtId="0" fontId="7" fillId="0" borderId="257" xfId="1" applyFont="1" applyFill="1" applyBorder="1" applyAlignment="1">
      <alignment horizontal="left" vertical="center" wrapText="1"/>
    </xf>
    <xf numFmtId="0" fontId="7" fillId="0" borderId="72" xfId="1" applyFont="1" applyFill="1" applyBorder="1" applyAlignment="1">
      <alignment horizontal="left" vertical="center"/>
    </xf>
    <xf numFmtId="0" fontId="86" fillId="0" borderId="67" xfId="10" applyNumberFormat="1" applyFont="1" applyFill="1" applyBorder="1" applyAlignment="1" applyProtection="1">
      <alignment horizontal="left" vertical="center"/>
      <protection locked="0"/>
    </xf>
    <xf numFmtId="0" fontId="86" fillId="0" borderId="77" xfId="10" applyNumberFormat="1" applyFont="1" applyFill="1" applyBorder="1" applyAlignment="1" applyProtection="1">
      <alignment horizontal="left" vertical="center"/>
      <protection locked="0"/>
    </xf>
    <xf numFmtId="0" fontId="9" fillId="12" borderId="9" xfId="1" applyFont="1" applyFill="1" applyBorder="1" applyAlignment="1">
      <alignment horizontal="left" vertical="center"/>
    </xf>
    <xf numFmtId="0" fontId="93" fillId="12" borderId="13" xfId="10" applyNumberFormat="1" applyFont="1" applyFill="1" applyBorder="1" applyAlignment="1" applyProtection="1">
      <alignment horizontal="left" vertical="center"/>
      <protection locked="0"/>
    </xf>
    <xf numFmtId="0" fontId="93" fillId="12" borderId="24" xfId="10" applyNumberFormat="1" applyFont="1" applyFill="1" applyBorder="1" applyAlignment="1" applyProtection="1">
      <alignment horizontal="left" vertical="center"/>
      <protection locked="0"/>
    </xf>
    <xf numFmtId="49" fontId="9" fillId="11" borderId="281" xfId="1" applyNumberFormat="1" applyFont="1" applyFill="1" applyBorder="1" applyAlignment="1">
      <alignment horizontal="left" vertical="center"/>
    </xf>
    <xf numFmtId="49" fontId="39" fillId="0" borderId="36" xfId="1" applyNumberFormat="1" applyFont="1" applyFill="1" applyBorder="1" applyAlignment="1">
      <alignment horizontal="center" vertical="top"/>
    </xf>
    <xf numFmtId="49" fontId="39" fillId="0" borderId="59" xfId="1" applyNumberFormat="1" applyFont="1" applyFill="1" applyBorder="1" applyAlignment="1">
      <alignment horizontal="center" vertical="top"/>
    </xf>
    <xf numFmtId="49" fontId="39" fillId="0" borderId="246" xfId="1" applyNumberFormat="1" applyFont="1" applyFill="1" applyBorder="1" applyAlignment="1">
      <alignment horizontal="center" vertical="top"/>
    </xf>
    <xf numFmtId="49" fontId="50" fillId="0" borderId="289" xfId="1" applyNumberFormat="1" applyFont="1" applyFill="1" applyBorder="1" applyAlignment="1">
      <alignment horizontal="center" vertical="center"/>
    </xf>
    <xf numFmtId="49" fontId="50" fillId="0" borderId="291" xfId="1" applyNumberFormat="1" applyFont="1" applyFill="1" applyBorder="1" applyAlignment="1">
      <alignment horizontal="center" vertical="center"/>
    </xf>
    <xf numFmtId="0" fontId="13" fillId="0" borderId="274" xfId="1" applyFont="1" applyFill="1" applyBorder="1" applyAlignment="1">
      <alignment horizontal="left" vertical="center" wrapText="1"/>
    </xf>
    <xf numFmtId="0" fontId="13" fillId="0" borderId="285" xfId="1" applyFont="1" applyFill="1" applyBorder="1" applyAlignment="1">
      <alignment horizontal="left" vertical="center" wrapText="1"/>
    </xf>
    <xf numFmtId="0" fontId="50" fillId="0" borderId="286" xfId="1" applyFont="1" applyFill="1" applyBorder="1" applyAlignment="1">
      <alignment horizontal="center" vertical="center"/>
    </xf>
    <xf numFmtId="0" fontId="50" fillId="0" borderId="284" xfId="1" applyFont="1" applyFill="1" applyBorder="1" applyAlignment="1">
      <alignment horizontal="center" vertical="center"/>
    </xf>
    <xf numFmtId="0" fontId="50" fillId="0" borderId="60" xfId="1" applyFont="1" applyFill="1" applyBorder="1" applyAlignment="1">
      <alignment horizontal="center" vertical="center"/>
    </xf>
    <xf numFmtId="0" fontId="50" fillId="0" borderId="1" xfId="1" applyFont="1" applyFill="1" applyBorder="1" applyAlignment="1">
      <alignment horizontal="center" vertical="center"/>
    </xf>
    <xf numFmtId="0" fontId="50" fillId="0" borderId="79" xfId="1" applyFont="1" applyFill="1" applyBorder="1" applyAlignment="1">
      <alignment horizontal="center" vertical="center"/>
    </xf>
    <xf numFmtId="0" fontId="50" fillId="0" borderId="78" xfId="1" applyFont="1" applyFill="1" applyBorder="1" applyAlignment="1">
      <alignment horizontal="center" vertical="center"/>
    </xf>
    <xf numFmtId="49" fontId="50" fillId="0" borderId="38" xfId="1" applyNumberFormat="1" applyFont="1" applyFill="1" applyBorder="1" applyAlignment="1">
      <alignment horizontal="center" vertical="center"/>
    </xf>
    <xf numFmtId="49" fontId="50" fillId="0" borderId="283" xfId="1" applyNumberFormat="1" applyFont="1" applyFill="1" applyBorder="1" applyAlignment="1">
      <alignment horizontal="center" vertical="center"/>
    </xf>
    <xf numFmtId="0" fontId="13" fillId="0" borderId="30" xfId="1" applyFont="1" applyFill="1" applyBorder="1" applyAlignment="1">
      <alignment horizontal="left" vertical="center" wrapText="1"/>
    </xf>
    <xf numFmtId="0" fontId="13" fillId="0" borderId="275" xfId="1" applyFont="1" applyFill="1" applyBorder="1" applyAlignment="1">
      <alignment horizontal="left" vertical="center" wrapText="1"/>
    </xf>
    <xf numFmtId="0" fontId="13" fillId="0" borderId="278" xfId="1" applyFont="1" applyFill="1" applyBorder="1" applyAlignment="1">
      <alignment horizontal="left" vertical="center" wrapText="1"/>
    </xf>
    <xf numFmtId="0" fontId="50" fillId="0" borderId="188" xfId="1" applyFont="1" applyFill="1" applyBorder="1" applyAlignment="1">
      <alignment horizontal="center" vertical="center"/>
    </xf>
    <xf numFmtId="0" fontId="50" fillId="0" borderId="187" xfId="1" applyFont="1" applyFill="1" applyBorder="1" applyAlignment="1">
      <alignment horizontal="center" vertical="center"/>
    </xf>
    <xf numFmtId="0" fontId="14" fillId="0" borderId="0" xfId="1" applyFont="1" applyAlignment="1">
      <alignment horizontal="right" vertical="center" wrapText="1"/>
    </xf>
    <xf numFmtId="0" fontId="16" fillId="0" borderId="0" xfId="1" applyFont="1" applyBorder="1" applyAlignment="1">
      <alignment horizontal="center" vertical="center" wrapText="1"/>
    </xf>
    <xf numFmtId="0" fontId="54" fillId="0" borderId="0" xfId="1" applyFont="1" applyBorder="1" applyAlignment="1">
      <alignment horizontal="right" vertical="center"/>
    </xf>
    <xf numFmtId="0" fontId="55" fillId="10" borderId="38" xfId="1" applyFont="1" applyFill="1" applyBorder="1" applyAlignment="1">
      <alignment horizontal="center" vertical="center"/>
    </xf>
    <xf numFmtId="0" fontId="55" fillId="10" borderId="289" xfId="1" applyFont="1" applyFill="1" applyBorder="1" applyAlignment="1">
      <alignment horizontal="center" vertical="center"/>
    </xf>
    <xf numFmtId="0" fontId="55" fillId="10" borderId="25" xfId="1" applyFont="1" applyFill="1" applyBorder="1" applyAlignment="1">
      <alignment horizontal="center" vertical="center"/>
    </xf>
    <xf numFmtId="0" fontId="55" fillId="10" borderId="274" xfId="1" applyFont="1" applyFill="1" applyBorder="1" applyAlignment="1">
      <alignment horizontal="center" vertical="center"/>
    </xf>
    <xf numFmtId="0" fontId="56" fillId="10" borderId="25" xfId="1" applyFont="1" applyFill="1" applyBorder="1" applyAlignment="1">
      <alignment horizontal="center" vertical="center"/>
    </xf>
    <xf numFmtId="0" fontId="55" fillId="10" borderId="25" xfId="1" applyFont="1" applyFill="1" applyBorder="1" applyAlignment="1">
      <alignment horizontal="center" vertical="center" wrapText="1"/>
    </xf>
    <xf numFmtId="0" fontId="55" fillId="10" borderId="274" xfId="1" applyFont="1" applyFill="1" applyBorder="1" applyAlignment="1">
      <alignment horizontal="center" vertical="center" wrapText="1"/>
    </xf>
    <xf numFmtId="0" fontId="56" fillId="10" borderId="25" xfId="1" applyFont="1" applyFill="1" applyBorder="1" applyAlignment="1">
      <alignment horizontal="center" vertical="center" wrapText="1"/>
    </xf>
    <xf numFmtId="0" fontId="57" fillId="10" borderId="25" xfId="1" applyFont="1" applyFill="1" applyBorder="1" applyAlignment="1">
      <alignment horizontal="center" vertical="center" wrapText="1"/>
    </xf>
    <xf numFmtId="0" fontId="57" fillId="10" borderId="274" xfId="1" applyFont="1" applyFill="1" applyBorder="1" applyAlignment="1">
      <alignment horizontal="center" vertical="center" wrapText="1"/>
    </xf>
    <xf numFmtId="0" fontId="57" fillId="10" borderId="25" xfId="1" applyFont="1" applyFill="1" applyBorder="1" applyAlignment="1">
      <alignment horizontal="center" vertical="center"/>
    </xf>
    <xf numFmtId="0" fontId="57" fillId="10" borderId="40" xfId="1" applyFont="1" applyFill="1" applyBorder="1" applyAlignment="1">
      <alignment horizontal="center" vertical="center"/>
    </xf>
    <xf numFmtId="0" fontId="50" fillId="0" borderId="274" xfId="1" applyFont="1" applyFill="1" applyBorder="1" applyAlignment="1">
      <alignment horizontal="center" vertical="center"/>
    </xf>
    <xf numFmtId="0" fontId="50" fillId="0" borderId="285" xfId="1" applyFont="1" applyFill="1" applyBorder="1" applyAlignment="1">
      <alignment horizontal="center" vertical="center"/>
    </xf>
    <xf numFmtId="49" fontId="50" fillId="0" borderId="274" xfId="1" applyNumberFormat="1" applyFont="1" applyFill="1" applyBorder="1" applyAlignment="1">
      <alignment horizontal="center" vertical="center"/>
    </xf>
    <xf numFmtId="49" fontId="50" fillId="0" borderId="285" xfId="1" applyNumberFormat="1" applyFont="1" applyFill="1" applyBorder="1" applyAlignment="1">
      <alignment horizontal="center" vertical="center"/>
    </xf>
    <xf numFmtId="49" fontId="50" fillId="0" borderId="46" xfId="1" applyNumberFormat="1" applyFont="1" applyFill="1" applyBorder="1" applyAlignment="1">
      <alignment horizontal="center" vertical="center"/>
    </xf>
    <xf numFmtId="49" fontId="50" fillId="0" borderId="62" xfId="1" applyNumberFormat="1" applyFont="1" applyFill="1" applyBorder="1" applyAlignment="1">
      <alignment horizontal="center" vertical="center"/>
    </xf>
    <xf numFmtId="49" fontId="50" fillId="0" borderId="47" xfId="1" applyNumberFormat="1" applyFont="1" applyFill="1" applyBorder="1" applyAlignment="1">
      <alignment horizontal="center" vertical="center"/>
    </xf>
    <xf numFmtId="0" fontId="50" fillId="0" borderId="287" xfId="1" applyFont="1" applyFill="1" applyBorder="1" applyAlignment="1">
      <alignment horizontal="left" vertical="center" wrapText="1"/>
    </xf>
    <xf numFmtId="0" fontId="50" fillId="0" borderId="267" xfId="1" applyFont="1" applyFill="1" applyBorder="1" applyAlignment="1">
      <alignment horizontal="left" vertical="center" wrapText="1"/>
    </xf>
    <xf numFmtId="0" fontId="50" fillId="0" borderId="48" xfId="1" applyFont="1" applyFill="1" applyBorder="1" applyAlignment="1">
      <alignment horizontal="left" vertical="center" wrapText="1"/>
    </xf>
    <xf numFmtId="0" fontId="50" fillId="0" borderId="287" xfId="1" applyFont="1" applyFill="1" applyBorder="1" applyAlignment="1">
      <alignment horizontal="center" vertical="center"/>
    </xf>
    <xf numFmtId="0" fontId="50" fillId="0" borderId="267" xfId="1" applyFont="1" applyFill="1" applyBorder="1" applyAlignment="1">
      <alignment horizontal="center" vertical="center"/>
    </xf>
    <xf numFmtId="0" fontId="50" fillId="0" borderId="48" xfId="1" applyFont="1" applyFill="1" applyBorder="1" applyAlignment="1">
      <alignment horizontal="center" vertical="center"/>
    </xf>
    <xf numFmtId="49" fontId="50" fillId="0" borderId="287" xfId="1" applyNumberFormat="1" applyFont="1" applyFill="1" applyBorder="1" applyAlignment="1">
      <alignment horizontal="center" vertical="center"/>
    </xf>
    <xf numFmtId="49" fontId="50" fillId="0" borderId="267" xfId="1" applyNumberFormat="1" applyFont="1" applyFill="1" applyBorder="1" applyAlignment="1">
      <alignment horizontal="center" vertical="center"/>
    </xf>
    <xf numFmtId="49" fontId="50" fillId="0" borderId="48" xfId="1" applyNumberFormat="1" applyFont="1" applyFill="1" applyBorder="1" applyAlignment="1">
      <alignment horizontal="center" vertical="center"/>
    </xf>
    <xf numFmtId="0" fontId="50" fillId="0" borderId="25" xfId="1" applyFont="1" applyFill="1" applyBorder="1" applyAlignment="1">
      <alignment horizontal="left" vertical="center" wrapText="1"/>
    </xf>
    <xf numFmtId="0" fontId="13" fillId="0" borderId="277" xfId="1" applyFont="1" applyFill="1" applyBorder="1" applyAlignment="1">
      <alignment horizontal="left" vertical="center" wrapText="1"/>
    </xf>
    <xf numFmtId="0" fontId="50" fillId="0" borderId="25" xfId="1" applyFont="1" applyFill="1" applyBorder="1" applyAlignment="1">
      <alignment horizontal="center" vertical="center"/>
    </xf>
    <xf numFmtId="0" fontId="50" fillId="0" borderId="277" xfId="1" applyFont="1" applyFill="1" applyBorder="1" applyAlignment="1">
      <alignment horizontal="center" vertical="center"/>
    </xf>
    <xf numFmtId="49" fontId="50" fillId="0" borderId="25" xfId="1" applyNumberFormat="1" applyFont="1" applyFill="1" applyBorder="1" applyAlignment="1">
      <alignment horizontal="center" vertical="center"/>
    </xf>
    <xf numFmtId="49" fontId="50" fillId="0" borderId="277" xfId="1" applyNumberFormat="1" applyFont="1" applyFill="1" applyBorder="1" applyAlignment="1">
      <alignment horizontal="center" vertical="center"/>
    </xf>
    <xf numFmtId="0" fontId="13" fillId="0" borderId="287" xfId="1" applyFont="1" applyFill="1" applyBorder="1" applyAlignment="1">
      <alignment horizontal="left" vertical="center" wrapText="1"/>
    </xf>
    <xf numFmtId="0" fontId="13" fillId="0" borderId="267" xfId="1" applyFont="1" applyFill="1" applyBorder="1" applyAlignment="1">
      <alignment horizontal="left" vertical="center" wrapText="1"/>
    </xf>
    <xf numFmtId="0" fontId="13" fillId="0" borderId="48" xfId="1" applyFont="1" applyFill="1" applyBorder="1" applyAlignment="1">
      <alignment horizontal="left" vertical="center" wrapText="1"/>
    </xf>
    <xf numFmtId="49" fontId="50" fillId="0" borderId="36" xfId="1" applyNumberFormat="1" applyFont="1" applyFill="1" applyBorder="1" applyAlignment="1">
      <alignment horizontal="center" vertical="center"/>
    </xf>
    <xf numFmtId="0" fontId="13" fillId="0" borderId="59" xfId="1" applyFont="1" applyFill="1" applyBorder="1" applyAlignment="1">
      <alignment horizontal="left" vertical="center" wrapText="1"/>
    </xf>
    <xf numFmtId="0" fontId="50" fillId="0" borderId="59" xfId="1" applyFont="1" applyFill="1" applyBorder="1" applyAlignment="1">
      <alignment horizontal="center" vertical="center"/>
    </xf>
    <xf numFmtId="49" fontId="50" fillId="0" borderId="59" xfId="1" applyNumberFormat="1" applyFont="1" applyFill="1" applyBorder="1" applyAlignment="1">
      <alignment horizontal="center" vertical="center"/>
    </xf>
    <xf numFmtId="0" fontId="13" fillId="0" borderId="25" xfId="1" applyFont="1" applyFill="1" applyBorder="1" applyAlignment="1">
      <alignment horizontal="left" vertical="center" wrapText="1"/>
    </xf>
    <xf numFmtId="49" fontId="39" fillId="0" borderId="62" xfId="1" applyNumberFormat="1" applyFont="1" applyFill="1" applyBorder="1" applyAlignment="1">
      <alignment horizontal="center" vertical="top"/>
    </xf>
    <xf numFmtId="49" fontId="39" fillId="0" borderId="267" xfId="1" applyNumberFormat="1" applyFont="1" applyFill="1" applyBorder="1" applyAlignment="1">
      <alignment horizontal="center" vertical="top"/>
    </xf>
    <xf numFmtId="49" fontId="39" fillId="0" borderId="82" xfId="1" applyNumberFormat="1" applyFont="1" applyFill="1" applyBorder="1" applyAlignment="1">
      <alignment horizontal="center" vertical="top"/>
    </xf>
    <xf numFmtId="49" fontId="9" fillId="11" borderId="30" xfId="1" applyNumberFormat="1" applyFont="1" applyFill="1" applyBorder="1" applyAlignment="1">
      <alignment horizontal="left" vertical="center" wrapText="1"/>
    </xf>
    <xf numFmtId="49" fontId="9" fillId="11" borderId="75" xfId="1" applyNumberFormat="1" applyFont="1" applyFill="1" applyBorder="1" applyAlignment="1">
      <alignment horizontal="left" vertical="center" wrapText="1"/>
    </xf>
    <xf numFmtId="49" fontId="9" fillId="11" borderId="31" xfId="1" applyNumberFormat="1" applyFont="1" applyFill="1" applyBorder="1" applyAlignment="1">
      <alignment horizontal="left" vertical="center" wrapText="1"/>
    </xf>
    <xf numFmtId="49" fontId="12" fillId="0" borderId="291" xfId="1" applyNumberFormat="1" applyFont="1" applyFill="1" applyBorder="1" applyAlignment="1">
      <alignment horizontal="center" vertical="top"/>
    </xf>
    <xf numFmtId="49" fontId="12" fillId="0" borderId="285" xfId="1" applyNumberFormat="1" applyFont="1" applyFill="1" applyBorder="1" applyAlignment="1">
      <alignment horizontal="center" vertical="top"/>
    </xf>
    <xf numFmtId="49" fontId="12" fillId="0" borderId="292" xfId="1" applyNumberFormat="1" applyFont="1" applyFill="1" applyBorder="1" applyAlignment="1">
      <alignment horizontal="center" vertical="top"/>
    </xf>
    <xf numFmtId="0" fontId="50" fillId="0" borderId="275" xfId="1" applyFont="1" applyFill="1" applyBorder="1" applyAlignment="1">
      <alignment horizontal="center" vertical="center"/>
    </xf>
    <xf numFmtId="0" fontId="50" fillId="0" borderId="273" xfId="1" applyFont="1" applyFill="1" applyBorder="1" applyAlignment="1">
      <alignment horizontal="center" vertical="center"/>
    </xf>
    <xf numFmtId="49" fontId="9" fillId="11" borderId="25" xfId="1" applyNumberFormat="1" applyFont="1" applyFill="1" applyBorder="1" applyAlignment="1">
      <alignment horizontal="left" vertical="center"/>
    </xf>
    <xf numFmtId="49" fontId="7" fillId="0" borderId="289" xfId="1" applyNumberFormat="1" applyFont="1" applyFill="1" applyBorder="1" applyAlignment="1">
      <alignment horizontal="center" vertical="top"/>
    </xf>
    <xf numFmtId="49" fontId="7" fillId="0" borderId="274" xfId="1" applyNumberFormat="1" applyFont="1" applyFill="1" applyBorder="1" applyAlignment="1">
      <alignment horizontal="center" vertical="top"/>
    </xf>
    <xf numFmtId="49" fontId="7" fillId="0" borderId="290" xfId="1" applyNumberFormat="1" applyFont="1" applyFill="1" applyBorder="1" applyAlignment="1">
      <alignment horizontal="center" vertical="top"/>
    </xf>
    <xf numFmtId="0" fontId="50" fillId="0" borderId="285" xfId="1" applyFont="1" applyFill="1" applyBorder="1" applyAlignment="1">
      <alignment horizontal="left" vertical="center" wrapText="1"/>
    </xf>
    <xf numFmtId="0" fontId="50" fillId="0" borderId="59" xfId="1" applyFont="1" applyFill="1" applyBorder="1" applyAlignment="1">
      <alignment horizontal="left" vertical="center" wrapText="1"/>
    </xf>
    <xf numFmtId="49" fontId="9" fillId="11" borderId="59" xfId="1" applyNumberFormat="1" applyFont="1" applyFill="1" applyBorder="1" applyAlignment="1">
      <alignment horizontal="left" vertical="center"/>
    </xf>
    <xf numFmtId="49" fontId="39" fillId="0" borderId="291" xfId="1" applyNumberFormat="1" applyFont="1" applyFill="1" applyBorder="1" applyAlignment="1">
      <alignment horizontal="center" vertical="top"/>
    </xf>
    <xf numFmtId="49" fontId="39" fillId="0" borderId="285" xfId="1" applyNumberFormat="1" applyFont="1" applyFill="1" applyBorder="1" applyAlignment="1">
      <alignment horizontal="center" vertical="top"/>
    </xf>
    <xf numFmtId="49" fontId="39" fillId="0" borderId="292" xfId="1" applyNumberFormat="1" applyFont="1" applyFill="1" applyBorder="1" applyAlignment="1">
      <alignment horizontal="center" vertical="top"/>
    </xf>
    <xf numFmtId="49" fontId="12" fillId="10" borderId="9" xfId="1" applyNumberFormat="1" applyFont="1" applyFill="1" applyBorder="1" applyAlignment="1">
      <alignment horizontal="center" vertical="center"/>
    </xf>
    <xf numFmtId="49" fontId="12" fillId="10" borderId="13" xfId="1" applyNumberFormat="1" applyFont="1" applyFill="1" applyBorder="1" applyAlignment="1">
      <alignment horizontal="center" vertical="center"/>
    </xf>
    <xf numFmtId="49" fontId="12" fillId="10" borderId="24" xfId="1" applyNumberFormat="1" applyFont="1" applyFill="1" applyBorder="1" applyAlignment="1">
      <alignment horizontal="center" vertical="center"/>
    </xf>
    <xf numFmtId="49" fontId="9" fillId="11" borderId="79" xfId="1" applyNumberFormat="1" applyFont="1" applyFill="1" applyBorder="1" applyAlignment="1">
      <alignment horizontal="left" vertical="center" wrapText="1"/>
    </xf>
    <xf numFmtId="49" fontId="9" fillId="11" borderId="242" xfId="1" applyNumberFormat="1" applyFont="1" applyFill="1" applyBorder="1" applyAlignment="1">
      <alignment horizontal="left" vertical="center" wrapText="1"/>
    </xf>
    <xf numFmtId="49" fontId="9" fillId="11" borderId="78" xfId="1" applyNumberFormat="1" applyFont="1" applyFill="1" applyBorder="1" applyAlignment="1">
      <alignment horizontal="left" vertical="center" wrapText="1"/>
    </xf>
    <xf numFmtId="0" fontId="7" fillId="0" borderId="0" xfId="1" applyFont="1" applyAlignment="1">
      <alignment horizontal="center"/>
    </xf>
    <xf numFmtId="0" fontId="14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wrapText="1"/>
    </xf>
    <xf numFmtId="0" fontId="21" fillId="0" borderId="0" xfId="1" applyFont="1" applyBorder="1" applyAlignment="1">
      <alignment horizontal="left" vertical="center"/>
    </xf>
    <xf numFmtId="0" fontId="12" fillId="0" borderId="8" xfId="1" applyFont="1" applyBorder="1" applyAlignment="1">
      <alignment horizontal="center" vertical="center"/>
    </xf>
    <xf numFmtId="0" fontId="12" fillId="0" borderId="32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12" fillId="4" borderId="9" xfId="1" applyFont="1" applyFill="1" applyBorder="1" applyAlignment="1">
      <alignment horizontal="center" vertical="center" wrapText="1"/>
    </xf>
    <xf numFmtId="0" fontId="12" fillId="4" borderId="12" xfId="1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16" fillId="2" borderId="9" xfId="1" applyFont="1" applyFill="1" applyBorder="1" applyAlignment="1">
      <alignment horizontal="center" vertical="center"/>
    </xf>
    <xf numFmtId="0" fontId="16" fillId="2" borderId="13" xfId="1" applyFont="1" applyFill="1" applyBorder="1" applyAlignment="1">
      <alignment horizontal="center" vertical="center"/>
    </xf>
    <xf numFmtId="0" fontId="16" fillId="2" borderId="12" xfId="1" applyFont="1" applyFill="1" applyBorder="1" applyAlignment="1">
      <alignment horizontal="center" vertical="center"/>
    </xf>
    <xf numFmtId="0" fontId="11" fillId="4" borderId="9" xfId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/>
    </xf>
    <xf numFmtId="0" fontId="11" fillId="4" borderId="12" xfId="1" applyFont="1" applyFill="1" applyBorder="1" applyAlignment="1">
      <alignment horizontal="center" vertical="center"/>
    </xf>
    <xf numFmtId="0" fontId="11" fillId="3" borderId="9" xfId="1" applyFont="1" applyFill="1" applyBorder="1" applyAlignment="1">
      <alignment horizontal="center" vertical="center"/>
    </xf>
    <xf numFmtId="0" fontId="11" fillId="3" borderId="13" xfId="1" applyFont="1" applyFill="1" applyBorder="1" applyAlignment="1">
      <alignment horizontal="center" vertical="center"/>
    </xf>
    <xf numFmtId="0" fontId="11" fillId="3" borderId="12" xfId="1" applyFont="1" applyFill="1" applyBorder="1" applyAlignment="1">
      <alignment horizontal="center" vertical="center"/>
    </xf>
    <xf numFmtId="0" fontId="21" fillId="0" borderId="6" xfId="1" applyFont="1" applyBorder="1" applyAlignment="1">
      <alignment horizontal="left"/>
    </xf>
    <xf numFmtId="0" fontId="21" fillId="0" borderId="0" xfId="1" applyFont="1" applyBorder="1" applyAlignment="1">
      <alignment horizontal="left"/>
    </xf>
    <xf numFmtId="0" fontId="21" fillId="0" borderId="5" xfId="1" applyFont="1" applyBorder="1" applyAlignment="1">
      <alignment horizontal="left"/>
    </xf>
    <xf numFmtId="0" fontId="12" fillId="0" borderId="19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1" fillId="4" borderId="9" xfId="1" applyFont="1" applyFill="1" applyBorder="1" applyAlignment="1">
      <alignment horizontal="center" vertical="center" wrapText="1"/>
    </xf>
    <xf numFmtId="0" fontId="11" fillId="4" borderId="12" xfId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3" fontId="12" fillId="6" borderId="8" xfId="1" applyNumberFormat="1" applyFont="1" applyFill="1" applyBorder="1" applyAlignment="1">
      <alignment horizontal="right" vertical="center"/>
    </xf>
    <xf numFmtId="3" fontId="12" fillId="6" borderId="272" xfId="1" applyNumberFormat="1" applyFont="1" applyFill="1" applyBorder="1" applyAlignment="1">
      <alignment horizontal="right" vertical="center"/>
    </xf>
    <xf numFmtId="3" fontId="12" fillId="6" borderId="279" xfId="1" applyNumberFormat="1" applyFont="1" applyFill="1" applyBorder="1" applyAlignment="1">
      <alignment horizontal="right" vertical="center"/>
    </xf>
    <xf numFmtId="0" fontId="12" fillId="0" borderId="11" xfId="1" applyFont="1" applyFill="1" applyBorder="1" applyAlignment="1">
      <alignment horizontal="center" vertical="center"/>
    </xf>
    <xf numFmtId="0" fontId="12" fillId="0" borderId="69" xfId="1" applyFont="1" applyFill="1" applyBorder="1" applyAlignment="1">
      <alignment horizontal="center" vertical="center"/>
    </xf>
    <xf numFmtId="3" fontId="12" fillId="0" borderId="19" xfId="1" applyNumberFormat="1" applyFont="1" applyBorder="1" applyAlignment="1">
      <alignment horizontal="center" vertical="center"/>
    </xf>
    <xf numFmtId="3" fontId="12" fillId="0" borderId="17" xfId="1" applyNumberFormat="1" applyFont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5" fillId="0" borderId="19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7" fillId="0" borderId="19" xfId="1" applyFont="1" applyBorder="1" applyAlignment="1">
      <alignment horizontal="left" vertical="center" wrapText="1"/>
    </xf>
    <xf numFmtId="0" fontId="7" fillId="0" borderId="14" xfId="1" applyFont="1" applyBorder="1" applyAlignment="1">
      <alignment horizontal="left" vertical="center" wrapText="1"/>
    </xf>
    <xf numFmtId="3" fontId="12" fillId="0" borderId="19" xfId="4" applyNumberFormat="1" applyFont="1" applyBorder="1" applyAlignment="1">
      <alignment horizontal="center" vertical="center"/>
    </xf>
    <xf numFmtId="3" fontId="12" fillId="0" borderId="17" xfId="4" applyNumberFormat="1" applyFont="1" applyBorder="1" applyAlignment="1">
      <alignment horizontal="center" vertical="center"/>
    </xf>
    <xf numFmtId="3" fontId="12" fillId="0" borderId="14" xfId="4" applyNumberFormat="1" applyFont="1" applyBorder="1" applyAlignment="1">
      <alignment horizontal="center" vertical="center"/>
    </xf>
    <xf numFmtId="0" fontId="12" fillId="0" borderId="19" xfId="4" applyFont="1" applyBorder="1" applyAlignment="1">
      <alignment horizontal="center" vertical="center"/>
    </xf>
    <xf numFmtId="0" fontId="12" fillId="0" borderId="17" xfId="4" applyFont="1" applyBorder="1" applyAlignment="1">
      <alignment horizontal="center" vertical="center"/>
    </xf>
    <xf numFmtId="0" fontId="7" fillId="0" borderId="17" xfId="1" applyFont="1" applyBorder="1" applyAlignment="1">
      <alignment horizontal="left" vertical="center" wrapText="1"/>
    </xf>
    <xf numFmtId="0" fontId="7" fillId="0" borderId="18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19" xfId="4" applyFont="1" applyBorder="1" applyAlignment="1">
      <alignment horizontal="left" vertical="center" wrapText="1"/>
    </xf>
    <xf numFmtId="0" fontId="7" fillId="0" borderId="17" xfId="4" applyFont="1" applyBorder="1" applyAlignment="1">
      <alignment horizontal="left" vertical="center" wrapText="1"/>
    </xf>
    <xf numFmtId="0" fontId="15" fillId="0" borderId="0" xfId="1" applyFont="1" applyAlignment="1">
      <alignment horizontal="center"/>
    </xf>
    <xf numFmtId="0" fontId="18" fillId="0" borderId="0" xfId="1" applyFont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 wrapText="1"/>
    </xf>
    <xf numFmtId="0" fontId="11" fillId="3" borderId="12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/>
    </xf>
    <xf numFmtId="3" fontId="11" fillId="3" borderId="4" xfId="1" applyNumberFormat="1" applyFont="1" applyFill="1" applyBorder="1" applyAlignment="1">
      <alignment horizontal="center" vertical="center" wrapText="1"/>
    </xf>
    <xf numFmtId="0" fontId="33" fillId="3" borderId="69" xfId="1" applyFont="1" applyFill="1" applyBorder="1" applyAlignment="1">
      <alignment horizontal="center" vertical="center"/>
    </xf>
    <xf numFmtId="0" fontId="33" fillId="3" borderId="27" xfId="1" applyFont="1" applyFill="1" applyBorder="1" applyAlignment="1">
      <alignment horizontal="center" vertical="center"/>
    </xf>
    <xf numFmtId="0" fontId="33" fillId="3" borderId="13" xfId="1" applyFont="1" applyFill="1" applyBorder="1" applyAlignment="1">
      <alignment horizontal="center" vertical="center"/>
    </xf>
    <xf numFmtId="49" fontId="35" fillId="6" borderId="8" xfId="1" applyNumberFormat="1" applyFont="1" applyFill="1" applyBorder="1" applyAlignment="1">
      <alignment horizontal="center" vertical="center"/>
    </xf>
    <xf numFmtId="49" fontId="35" fillId="6" borderId="272" xfId="1" applyNumberFormat="1" applyFont="1" applyFill="1" applyBorder="1" applyAlignment="1">
      <alignment horizontal="center" vertical="center"/>
    </xf>
    <xf numFmtId="49" fontId="35" fillId="6" borderId="7" xfId="1" applyNumberFormat="1" applyFont="1" applyFill="1" applyBorder="1" applyAlignment="1">
      <alignment horizontal="center" vertical="center"/>
    </xf>
    <xf numFmtId="0" fontId="7" fillId="6" borderId="19" xfId="1" applyFont="1" applyFill="1" applyBorder="1" applyAlignment="1">
      <alignment horizontal="left" vertical="center" wrapText="1"/>
    </xf>
    <xf numFmtId="0" fontId="7" fillId="6" borderId="17" xfId="1" applyFont="1" applyFill="1" applyBorder="1" applyAlignment="1">
      <alignment horizontal="left" vertical="center" wrapText="1"/>
    </xf>
    <xf numFmtId="0" fontId="12" fillId="0" borderId="18" xfId="4" applyFont="1" applyBorder="1" applyAlignment="1">
      <alignment horizontal="center" vertical="center"/>
    </xf>
    <xf numFmtId="0" fontId="12" fillId="0" borderId="7" xfId="4" applyFont="1" applyBorder="1" applyAlignment="1">
      <alignment horizontal="center" vertical="center"/>
    </xf>
    <xf numFmtId="0" fontId="12" fillId="0" borderId="14" xfId="4" applyFont="1" applyBorder="1" applyAlignment="1">
      <alignment horizontal="center" vertical="center"/>
    </xf>
    <xf numFmtId="0" fontId="35" fillId="6" borderId="76" xfId="1" applyFont="1" applyFill="1" applyBorder="1" applyAlignment="1">
      <alignment horizontal="center" vertical="center"/>
    </xf>
    <xf numFmtId="0" fontId="35" fillId="6" borderId="271" xfId="1" applyFont="1" applyFill="1" applyBorder="1" applyAlignment="1">
      <alignment horizontal="center" vertical="center"/>
    </xf>
    <xf numFmtId="0" fontId="35" fillId="6" borderId="280" xfId="1" applyFont="1" applyFill="1" applyBorder="1" applyAlignment="1">
      <alignment horizontal="center" vertical="center"/>
    </xf>
    <xf numFmtId="0" fontId="12" fillId="0" borderId="11" xfId="4" applyFont="1" applyBorder="1" applyAlignment="1">
      <alignment horizontal="center" vertical="center"/>
    </xf>
    <xf numFmtId="0" fontId="12" fillId="0" borderId="6" xfId="4" applyFont="1" applyBorder="1" applyAlignment="1">
      <alignment horizontal="center" vertical="center"/>
    </xf>
    <xf numFmtId="0" fontId="12" fillId="0" borderId="69" xfId="4" applyFont="1" applyBorder="1" applyAlignment="1">
      <alignment horizontal="center" vertical="center"/>
    </xf>
    <xf numFmtId="49" fontId="12" fillId="6" borderId="8" xfId="1" applyNumberFormat="1" applyFont="1" applyFill="1" applyBorder="1" applyAlignment="1">
      <alignment horizontal="center" vertical="center"/>
    </xf>
    <xf numFmtId="49" fontId="12" fillId="6" borderId="272" xfId="1" applyNumberFormat="1" applyFont="1" applyFill="1" applyBorder="1" applyAlignment="1">
      <alignment horizontal="center" vertical="center"/>
    </xf>
    <xf numFmtId="49" fontId="12" fillId="6" borderId="279" xfId="1" applyNumberFormat="1" applyFont="1" applyFill="1" applyBorder="1" applyAlignment="1">
      <alignment horizontal="center" vertical="center"/>
    </xf>
    <xf numFmtId="0" fontId="7" fillId="0" borderId="14" xfId="4" applyFont="1" applyBorder="1" applyAlignment="1">
      <alignment horizontal="left" vertical="center" wrapText="1"/>
    </xf>
    <xf numFmtId="3" fontId="12" fillId="0" borderId="14" xfId="1" applyNumberFormat="1" applyFont="1" applyBorder="1" applyAlignment="1">
      <alignment horizontal="center" vertical="center"/>
    </xf>
    <xf numFmtId="3" fontId="12" fillId="0" borderId="18" xfId="4" applyNumberFormat="1" applyFont="1" applyBorder="1" applyAlignment="1">
      <alignment horizontal="right" vertical="center"/>
    </xf>
    <xf numFmtId="3" fontId="12" fillId="0" borderId="7" xfId="4" applyNumberFormat="1" applyFont="1" applyBorder="1" applyAlignment="1">
      <alignment horizontal="right" vertical="center"/>
    </xf>
    <xf numFmtId="3" fontId="12" fillId="0" borderId="18" xfId="4" applyNumberFormat="1" applyFont="1" applyBorder="1" applyAlignment="1">
      <alignment horizontal="center" vertical="center"/>
    </xf>
    <xf numFmtId="3" fontId="12" fillId="0" borderId="7" xfId="4" applyNumberFormat="1" applyFont="1" applyBorder="1" applyAlignment="1">
      <alignment horizontal="center" vertical="center"/>
    </xf>
    <xf numFmtId="0" fontId="7" fillId="0" borderId="291" xfId="1" applyNumberFormat="1" applyFont="1" applyBorder="1" applyAlignment="1">
      <alignment horizontal="center" vertical="center"/>
    </xf>
    <xf numFmtId="0" fontId="7" fillId="0" borderId="47" xfId="1" applyNumberFormat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20" fillId="0" borderId="8" xfId="1" applyFont="1" applyBorder="1" applyAlignment="1">
      <alignment horizontal="left" vertical="center" wrapText="1"/>
    </xf>
    <xf numFmtId="0" fontId="20" fillId="0" borderId="7" xfId="1" applyFont="1" applyBorder="1" applyAlignment="1">
      <alignment horizontal="left" vertical="center" wrapText="1"/>
    </xf>
    <xf numFmtId="0" fontId="11" fillId="0" borderId="76" xfId="1" applyFont="1" applyBorder="1" applyAlignment="1">
      <alignment horizontal="center" vertical="center"/>
    </xf>
    <xf numFmtId="0" fontId="11" fillId="0" borderId="49" xfId="1" applyFont="1" applyBorder="1" applyAlignment="1">
      <alignment horizontal="center" vertical="center"/>
    </xf>
    <xf numFmtId="49" fontId="11" fillId="0" borderId="8" xfId="1" applyNumberFormat="1" applyFont="1" applyBorder="1" applyAlignment="1">
      <alignment horizontal="center" vertical="center"/>
    </xf>
    <xf numFmtId="49" fontId="11" fillId="0" borderId="7" xfId="1" applyNumberFormat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69" xfId="1" applyFont="1" applyBorder="1" applyAlignment="1">
      <alignment horizontal="center" vertical="center"/>
    </xf>
    <xf numFmtId="49" fontId="11" fillId="0" borderId="19" xfId="1" applyNumberFormat="1" applyFont="1" applyBorder="1" applyAlignment="1">
      <alignment horizontal="center" vertical="center"/>
    </xf>
    <xf numFmtId="49" fontId="11" fillId="0" borderId="14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8" fillId="3" borderId="12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0" fontId="11" fillId="3" borderId="19" xfId="1" applyFont="1" applyFill="1" applyBorder="1" applyAlignment="1">
      <alignment horizontal="center" vertical="center"/>
    </xf>
    <xf numFmtId="0" fontId="11" fillId="3" borderId="14" xfId="1" applyFont="1" applyFill="1" applyBorder="1" applyAlignment="1">
      <alignment horizontal="center" vertical="center"/>
    </xf>
    <xf numFmtId="0" fontId="11" fillId="3" borderId="19" xfId="1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top"/>
    </xf>
    <xf numFmtId="0" fontId="15" fillId="0" borderId="0" xfId="1" applyFont="1" applyAlignment="1">
      <alignment horizontal="center" vertical="top"/>
    </xf>
    <xf numFmtId="49" fontId="11" fillId="3" borderId="4" xfId="1" applyNumberFormat="1" applyFont="1" applyFill="1" applyBorder="1" applyAlignment="1">
      <alignment horizontal="center" vertical="center"/>
    </xf>
    <xf numFmtId="0" fontId="18" fillId="0" borderId="0" xfId="1" applyFont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/>
    </xf>
    <xf numFmtId="0" fontId="11" fillId="2" borderId="19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 wrapText="1"/>
    </xf>
    <xf numFmtId="0" fontId="11" fillId="2" borderId="19" xfId="1" applyFont="1" applyFill="1" applyBorder="1" applyAlignment="1">
      <alignment horizontal="center" vertical="center" wrapText="1"/>
    </xf>
    <xf numFmtId="0" fontId="21" fillId="2" borderId="9" xfId="1" applyFont="1" applyFill="1" applyBorder="1" applyAlignment="1">
      <alignment horizontal="center" vertical="center" wrapText="1"/>
    </xf>
    <xf numFmtId="0" fontId="21" fillId="2" borderId="13" xfId="1" applyFont="1" applyFill="1" applyBorder="1" applyAlignment="1">
      <alignment horizontal="center" vertical="center" wrapText="1"/>
    </xf>
    <xf numFmtId="0" fontId="21" fillId="2" borderId="19" xfId="1" applyFont="1" applyFill="1" applyBorder="1" applyAlignment="1">
      <alignment horizontal="center" vertical="center" wrapText="1"/>
    </xf>
    <xf numFmtId="0" fontId="21" fillId="2" borderId="17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center" wrapText="1"/>
    </xf>
    <xf numFmtId="0" fontId="20" fillId="0" borderId="266" xfId="1" applyNumberFormat="1" applyFont="1" applyBorder="1" applyAlignment="1">
      <alignment horizontal="center" vertical="center"/>
    </xf>
    <xf numFmtId="0" fontId="20" fillId="0" borderId="267" xfId="1" applyNumberFormat="1" applyFont="1" applyBorder="1" applyAlignment="1">
      <alignment horizontal="center" vertical="center"/>
    </xf>
    <xf numFmtId="0" fontId="20" fillId="0" borderId="48" xfId="1" applyNumberFormat="1" applyFont="1" applyBorder="1" applyAlignment="1">
      <alignment horizontal="center" vertical="center"/>
    </xf>
    <xf numFmtId="49" fontId="11" fillId="4" borderId="29" xfId="1" applyNumberFormat="1" applyFont="1" applyFill="1" applyBorder="1" applyAlignment="1">
      <alignment horizontal="center" vertical="center" wrapText="1"/>
    </xf>
    <xf numFmtId="49" fontId="11" fillId="4" borderId="61" xfId="1" applyNumberFormat="1" applyFont="1" applyFill="1" applyBorder="1" applyAlignment="1">
      <alignment horizontal="center" vertical="center" wrapText="1"/>
    </xf>
    <xf numFmtId="49" fontId="16" fillId="4" borderId="4" xfId="1" applyNumberFormat="1" applyFont="1" applyFill="1" applyBorder="1" applyAlignment="1">
      <alignment horizontal="center" vertical="center"/>
    </xf>
    <xf numFmtId="0" fontId="11" fillId="5" borderId="29" xfId="1" applyFont="1" applyFill="1" applyBorder="1" applyAlignment="1">
      <alignment horizontal="center" vertical="center" wrapText="1"/>
    </xf>
    <xf numFmtId="0" fontId="11" fillId="5" borderId="61" xfId="1" applyFont="1" applyFill="1" applyBorder="1" applyAlignment="1">
      <alignment horizontal="center" vertical="center" wrapText="1"/>
    </xf>
    <xf numFmtId="49" fontId="11" fillId="0" borderId="18" xfId="1" applyNumberFormat="1" applyFont="1" applyBorder="1" applyAlignment="1">
      <alignment horizontal="center" vertical="center"/>
    </xf>
    <xf numFmtId="49" fontId="11" fillId="0" borderId="224" xfId="1" applyNumberFormat="1" applyFont="1" applyBorder="1" applyAlignment="1">
      <alignment horizontal="center" vertical="center"/>
    </xf>
    <xf numFmtId="49" fontId="11" fillId="0" borderId="223" xfId="1" applyNumberFormat="1" applyFont="1" applyBorder="1" applyAlignment="1">
      <alignment horizontal="center" vertical="center"/>
    </xf>
    <xf numFmtId="49" fontId="20" fillId="0" borderId="265" xfId="1" applyNumberFormat="1" applyFont="1" applyBorder="1" applyAlignment="1">
      <alignment horizontal="center" vertical="center"/>
    </xf>
    <xf numFmtId="49" fontId="20" fillId="0" borderId="1" xfId="1" applyNumberFormat="1" applyFont="1" applyBorder="1" applyAlignment="1">
      <alignment horizontal="center" vertical="center"/>
    </xf>
    <xf numFmtId="49" fontId="20" fillId="0" borderId="268" xfId="1" applyNumberFormat="1" applyFont="1" applyBorder="1" applyAlignment="1">
      <alignment horizontal="center" vertical="center"/>
    </xf>
    <xf numFmtId="49" fontId="20" fillId="0" borderId="266" xfId="1" applyNumberFormat="1" applyFont="1" applyBorder="1" applyAlignment="1">
      <alignment horizontal="center" vertical="center" wrapText="1"/>
    </xf>
    <xf numFmtId="49" fontId="20" fillId="0" borderId="267" xfId="1" applyNumberFormat="1" applyFont="1" applyBorder="1" applyAlignment="1">
      <alignment horizontal="center" vertical="center" wrapText="1"/>
    </xf>
    <xf numFmtId="49" fontId="20" fillId="0" borderId="48" xfId="1" applyNumberFormat="1" applyFont="1" applyBorder="1" applyAlignment="1">
      <alignment horizontal="center" vertical="center" wrapText="1"/>
    </xf>
    <xf numFmtId="49" fontId="11" fillId="0" borderId="17" xfId="1" applyNumberFormat="1" applyFont="1" applyBorder="1" applyAlignment="1">
      <alignment horizontal="center" vertical="center"/>
    </xf>
    <xf numFmtId="0" fontId="11" fillId="4" borderId="25" xfId="1" applyFont="1" applyFill="1" applyBorder="1" applyAlignment="1">
      <alignment horizontal="center" vertical="center" wrapText="1"/>
    </xf>
    <xf numFmtId="49" fontId="11" fillId="0" borderId="38" xfId="1" applyNumberFormat="1" applyFont="1" applyBorder="1" applyAlignment="1">
      <alignment horizontal="center" vertical="center"/>
    </xf>
    <xf numFmtId="49" fontId="11" fillId="0" borderId="35" xfId="1" applyNumberFormat="1" applyFont="1" applyBorder="1" applyAlignment="1">
      <alignment horizontal="center" vertical="center"/>
    </xf>
    <xf numFmtId="49" fontId="11" fillId="2" borderId="4" xfId="1" applyNumberFormat="1" applyFont="1" applyFill="1" applyBorder="1" applyAlignment="1">
      <alignment horizontal="center" vertical="center"/>
    </xf>
    <xf numFmtId="49" fontId="11" fillId="2" borderId="9" xfId="1" applyNumberFormat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 wrapText="1"/>
    </xf>
    <xf numFmtId="0" fontId="11" fillId="2" borderId="17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1" fillId="4" borderId="78" xfId="1" applyFont="1" applyFill="1" applyBorder="1" applyAlignment="1">
      <alignment horizontal="center" vertical="center" wrapText="1"/>
    </xf>
    <xf numFmtId="0" fontId="11" fillId="4" borderId="59" xfId="1" applyFont="1" applyFill="1" applyBorder="1" applyAlignment="1">
      <alignment horizontal="center" vertical="center" wrapText="1"/>
    </xf>
    <xf numFmtId="0" fontId="11" fillId="4" borderId="79" xfId="1" applyFont="1" applyFill="1" applyBorder="1" applyAlignment="1">
      <alignment horizontal="center" vertical="center" wrapText="1"/>
    </xf>
    <xf numFmtId="0" fontId="20" fillId="0" borderId="262" xfId="1" applyFont="1" applyFill="1" applyBorder="1" applyAlignment="1">
      <alignment horizontal="center" vertical="center" wrapText="1"/>
    </xf>
    <xf numFmtId="0" fontId="11" fillId="0" borderId="262" xfId="1" applyFont="1" applyFill="1" applyBorder="1" applyAlignment="1">
      <alignment horizontal="center" vertical="center" wrapText="1"/>
    </xf>
    <xf numFmtId="49" fontId="11" fillId="2" borderId="13" xfId="1" applyNumberFormat="1" applyFont="1" applyFill="1" applyBorder="1" applyAlignment="1">
      <alignment horizontal="center" vertical="center"/>
    </xf>
    <xf numFmtId="49" fontId="20" fillId="0" borderId="258" xfId="1" applyNumberFormat="1" applyFont="1" applyBorder="1" applyAlignment="1">
      <alignment horizontal="center" vertical="center"/>
    </xf>
    <xf numFmtId="49" fontId="20" fillId="0" borderId="77" xfId="1" applyNumberFormat="1" applyFont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20" fillId="0" borderId="67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0" fontId="11" fillId="4" borderId="31" xfId="1" applyFont="1" applyFill="1" applyBorder="1" applyAlignment="1">
      <alignment horizontal="center" vertical="center"/>
    </xf>
    <xf numFmtId="0" fontId="11" fillId="4" borderId="25" xfId="1" applyFont="1" applyFill="1" applyBorder="1" applyAlignment="1">
      <alignment horizontal="center" vertical="center"/>
    </xf>
    <xf numFmtId="0" fontId="11" fillId="4" borderId="30" xfId="1" applyFont="1" applyFill="1" applyBorder="1" applyAlignment="1">
      <alignment horizontal="center" vertical="center"/>
    </xf>
    <xf numFmtId="49" fontId="11" fillId="0" borderId="63" xfId="1" applyNumberFormat="1" applyFont="1" applyBorder="1" applyAlignment="1">
      <alignment horizontal="center" vertical="center" wrapText="1"/>
    </xf>
    <xf numFmtId="49" fontId="11" fillId="0" borderId="257" xfId="1" applyNumberFormat="1" applyFont="1" applyBorder="1" applyAlignment="1">
      <alignment horizontal="center" vertical="center" wrapText="1"/>
    </xf>
    <xf numFmtId="49" fontId="11" fillId="0" borderId="49" xfId="1" applyNumberFormat="1" applyFont="1" applyBorder="1" applyAlignment="1">
      <alignment horizontal="center" vertical="center" wrapText="1"/>
    </xf>
    <xf numFmtId="0" fontId="11" fillId="4" borderId="36" xfId="1" applyFont="1" applyFill="1" applyBorder="1" applyAlignment="1">
      <alignment horizontal="center" vertical="center"/>
    </xf>
    <xf numFmtId="0" fontId="11" fillId="4" borderId="59" xfId="1" applyFont="1" applyFill="1" applyBorder="1" applyAlignment="1">
      <alignment horizontal="center" vertical="center"/>
    </xf>
    <xf numFmtId="0" fontId="11" fillId="4" borderId="53" xfId="1" applyFont="1" applyFill="1" applyBorder="1" applyAlignment="1">
      <alignment horizontal="center" vertical="center"/>
    </xf>
    <xf numFmtId="3" fontId="11" fillId="0" borderId="78" xfId="1" applyNumberFormat="1" applyFont="1" applyBorder="1" applyAlignment="1">
      <alignment horizontal="right" vertical="center"/>
    </xf>
    <xf numFmtId="0" fontId="11" fillId="0" borderId="53" xfId="1" applyFont="1" applyBorder="1" applyAlignment="1">
      <alignment horizontal="right" vertical="center"/>
    </xf>
    <xf numFmtId="49" fontId="20" fillId="0" borderId="157" xfId="1" applyNumberFormat="1" applyFont="1" applyBorder="1" applyAlignment="1">
      <alignment horizontal="center" vertical="center" wrapText="1"/>
    </xf>
    <xf numFmtId="49" fontId="20" fillId="0" borderId="45" xfId="1" applyNumberFormat="1" applyFont="1" applyBorder="1" applyAlignment="1">
      <alignment horizontal="center" vertical="center" wrapText="1"/>
    </xf>
    <xf numFmtId="2" fontId="20" fillId="0" borderId="261" xfId="1" applyNumberFormat="1" applyFont="1" applyBorder="1" applyAlignment="1">
      <alignment horizontal="center" vertical="center"/>
    </xf>
    <xf numFmtId="2" fontId="20" fillId="0" borderId="259" xfId="1" applyNumberFormat="1" applyFont="1" applyBorder="1" applyAlignment="1">
      <alignment horizontal="center" vertical="center"/>
    </xf>
    <xf numFmtId="3" fontId="20" fillId="0" borderId="258" xfId="1" applyNumberFormat="1" applyFont="1" applyBorder="1" applyAlignment="1">
      <alignment horizontal="right" vertical="center"/>
    </xf>
    <xf numFmtId="0" fontId="20" fillId="0" borderId="54" xfId="1" applyFont="1" applyBorder="1" applyAlignment="1">
      <alignment horizontal="right" vertical="center"/>
    </xf>
    <xf numFmtId="0" fontId="25" fillId="4" borderId="261" xfId="1" applyFont="1" applyFill="1" applyBorder="1" applyAlignment="1">
      <alignment horizontal="center" vertical="center"/>
    </xf>
    <xf numFmtId="0" fontId="25" fillId="4" borderId="259" xfId="1" applyFont="1" applyFill="1" applyBorder="1" applyAlignment="1">
      <alignment horizontal="center" vertical="center"/>
    </xf>
    <xf numFmtId="3" fontId="26" fillId="0" borderId="258" xfId="1" applyNumberFormat="1" applyFont="1" applyFill="1" applyBorder="1" applyAlignment="1">
      <alignment horizontal="right" vertical="center" wrapText="1"/>
    </xf>
    <xf numFmtId="3" fontId="26" fillId="0" borderId="54" xfId="1" applyNumberFormat="1" applyFont="1" applyFill="1" applyBorder="1" applyAlignment="1">
      <alignment horizontal="right" vertical="center" wrapText="1"/>
    </xf>
    <xf numFmtId="0" fontId="25" fillId="4" borderId="262" xfId="1" applyFont="1" applyFill="1" applyBorder="1" applyAlignment="1">
      <alignment horizontal="center" vertical="center"/>
    </xf>
    <xf numFmtId="0" fontId="25" fillId="4" borderId="260" xfId="1" applyFont="1" applyFill="1" applyBorder="1" applyAlignment="1">
      <alignment horizontal="center" vertical="center"/>
    </xf>
    <xf numFmtId="3" fontId="20" fillId="0" borderId="50" xfId="1" applyNumberFormat="1" applyFont="1" applyBorder="1" applyAlignment="1">
      <alignment horizontal="right" vertical="center"/>
    </xf>
    <xf numFmtId="3" fontId="20" fillId="0" borderId="44" xfId="1" applyNumberFormat="1" applyFont="1" applyBorder="1" applyAlignment="1">
      <alignment horizontal="right" vertical="center"/>
    </xf>
    <xf numFmtId="3" fontId="11" fillId="0" borderId="0" xfId="1" applyNumberFormat="1" applyFont="1" applyFill="1" applyBorder="1" applyAlignment="1">
      <alignment horizontal="right" vertical="center"/>
    </xf>
    <xf numFmtId="3" fontId="11" fillId="0" borderId="5" xfId="1" applyNumberFormat="1" applyFont="1" applyFill="1" applyBorder="1" applyAlignment="1">
      <alignment horizontal="right" vertical="center"/>
    </xf>
    <xf numFmtId="3" fontId="20" fillId="0" borderId="258" xfId="1" applyNumberFormat="1" applyFont="1" applyFill="1" applyBorder="1" applyAlignment="1">
      <alignment horizontal="right" vertical="center"/>
    </xf>
    <xf numFmtId="3" fontId="20" fillId="0" borderId="54" xfId="1" applyNumberFormat="1" applyFont="1" applyFill="1" applyBorder="1" applyAlignment="1">
      <alignment horizontal="right" vertical="center"/>
    </xf>
    <xf numFmtId="0" fontId="13" fillId="0" borderId="0" xfId="1" applyFont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1" fillId="2" borderId="24" xfId="1" applyFont="1" applyFill="1" applyBorder="1" applyAlignment="1">
      <alignment horizontal="center" vertical="center"/>
    </xf>
    <xf numFmtId="0" fontId="11" fillId="2" borderId="61" xfId="1" applyFont="1" applyFill="1" applyBorder="1" applyAlignment="1">
      <alignment horizontal="center" vertical="center"/>
    </xf>
    <xf numFmtId="0" fontId="11" fillId="2" borderId="52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wrapText="1"/>
    </xf>
    <xf numFmtId="0" fontId="11" fillId="0" borderId="63" xfId="1" applyFont="1" applyFill="1" applyBorder="1" applyAlignment="1">
      <alignment horizontal="center" vertical="center" wrapText="1"/>
    </xf>
    <xf numFmtId="0" fontId="11" fillId="4" borderId="0" xfId="1" applyFont="1" applyFill="1" applyBorder="1" applyAlignment="1">
      <alignment horizontal="center" vertical="center" wrapText="1"/>
    </xf>
    <xf numFmtId="0" fontId="11" fillId="4" borderId="5" xfId="1" applyFont="1" applyFill="1" applyBorder="1" applyAlignment="1">
      <alignment horizontal="center" vertical="center" wrapText="1"/>
    </xf>
    <xf numFmtId="0" fontId="20" fillId="0" borderId="261" xfId="1" applyFont="1" applyFill="1" applyBorder="1" applyAlignment="1">
      <alignment horizontal="center" vertical="center" wrapText="1"/>
    </xf>
    <xf numFmtId="0" fontId="20" fillId="0" borderId="259" xfId="1" applyFont="1" applyFill="1" applyBorder="1" applyAlignment="1">
      <alignment horizontal="center" vertical="center" wrapText="1"/>
    </xf>
    <xf numFmtId="0" fontId="11" fillId="4" borderId="261" xfId="1" applyFont="1" applyFill="1" applyBorder="1" applyAlignment="1">
      <alignment horizontal="center" vertical="center"/>
    </xf>
    <xf numFmtId="0" fontId="11" fillId="4" borderId="259" xfId="1" applyFont="1" applyFill="1" applyBorder="1" applyAlignment="1">
      <alignment horizontal="center" vertical="center"/>
    </xf>
    <xf numFmtId="0" fontId="20" fillId="0" borderId="37" xfId="1" applyFont="1" applyFill="1" applyBorder="1" applyAlignment="1">
      <alignment horizontal="center" vertical="center" wrapText="1"/>
    </xf>
    <xf numFmtId="0" fontId="20" fillId="0" borderId="36" xfId="1" applyFont="1" applyFill="1" applyBorder="1" applyAlignment="1">
      <alignment horizontal="center" vertical="center" wrapText="1"/>
    </xf>
    <xf numFmtId="0" fontId="11" fillId="2" borderId="65" xfId="1" applyFont="1" applyFill="1" applyBorder="1" applyAlignment="1">
      <alignment horizontal="center" vertical="center" wrapText="1"/>
    </xf>
    <xf numFmtId="0" fontId="11" fillId="2" borderId="80" xfId="1" applyFont="1" applyFill="1" applyBorder="1" applyAlignment="1">
      <alignment horizontal="center" vertical="center" wrapText="1"/>
    </xf>
    <xf numFmtId="49" fontId="16" fillId="2" borderId="29" xfId="1" applyNumberFormat="1" applyFont="1" applyFill="1" applyBorder="1" applyAlignment="1">
      <alignment horizontal="center" vertical="center"/>
    </xf>
    <xf numFmtId="49" fontId="16" fillId="2" borderId="61" xfId="1" applyNumberFormat="1" applyFont="1" applyFill="1" applyBorder="1" applyAlignment="1">
      <alignment horizontal="center" vertical="center"/>
    </xf>
    <xf numFmtId="49" fontId="16" fillId="2" borderId="28" xfId="1" applyNumberFormat="1" applyFont="1" applyFill="1" applyBorder="1" applyAlignment="1">
      <alignment horizontal="center" vertical="center"/>
    </xf>
    <xf numFmtId="3" fontId="16" fillId="2" borderId="29" xfId="1" applyNumberFormat="1" applyFont="1" applyFill="1" applyBorder="1" applyAlignment="1">
      <alignment horizontal="right" vertical="center"/>
    </xf>
    <xf numFmtId="3" fontId="16" fillId="2" borderId="52" xfId="1" applyNumberFormat="1" applyFont="1" applyFill="1" applyBorder="1" applyAlignment="1">
      <alignment horizontal="right" vertical="center"/>
    </xf>
    <xf numFmtId="0" fontId="16" fillId="0" borderId="58" xfId="1" applyFont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65" xfId="1" applyFont="1" applyFill="1" applyBorder="1" applyAlignment="1">
      <alignment horizontal="center" vertical="center"/>
    </xf>
    <xf numFmtId="0" fontId="11" fillId="2" borderId="80" xfId="1" applyFont="1" applyFill="1" applyBorder="1" applyAlignment="1">
      <alignment horizontal="center" vertical="center"/>
    </xf>
    <xf numFmtId="0" fontId="11" fillId="2" borderId="69" xfId="1" applyFont="1" applyFill="1" applyBorder="1" applyAlignment="1">
      <alignment horizontal="center" vertical="center"/>
    </xf>
    <xf numFmtId="0" fontId="11" fillId="2" borderId="76" xfId="1" applyFont="1" applyFill="1" applyBorder="1" applyAlignment="1">
      <alignment horizontal="center" vertical="center" wrapText="1"/>
    </xf>
    <xf numFmtId="0" fontId="11" fillId="2" borderId="49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31" xfId="1" applyFont="1" applyFill="1" applyBorder="1" applyAlignment="1">
      <alignment horizontal="center" vertical="center"/>
    </xf>
    <xf numFmtId="0" fontId="11" fillId="2" borderId="25" xfId="1" applyFont="1" applyFill="1" applyBorder="1" applyAlignment="1">
      <alignment horizontal="center" vertical="center"/>
    </xf>
    <xf numFmtId="0" fontId="11" fillId="2" borderId="40" xfId="1" applyFont="1" applyFill="1" applyBorder="1" applyAlignment="1">
      <alignment horizontal="center" vertical="center"/>
    </xf>
    <xf numFmtId="49" fontId="12" fillId="4" borderId="45" xfId="1" applyNumberFormat="1" applyFont="1" applyFill="1" applyBorder="1" applyAlignment="1">
      <alignment horizontal="center" vertical="center"/>
    </xf>
    <xf numFmtId="49" fontId="12" fillId="4" borderId="43" xfId="1" applyNumberFormat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left" vertical="center" wrapText="1"/>
    </xf>
    <xf numFmtId="0" fontId="12" fillId="4" borderId="38" xfId="1" applyFont="1" applyFill="1" applyBorder="1" applyAlignment="1">
      <alignment horizontal="center" vertical="center"/>
    </xf>
    <xf numFmtId="0" fontId="12" fillId="4" borderId="68" xfId="1" applyFont="1" applyFill="1" applyBorder="1" applyAlignment="1">
      <alignment horizontal="center" vertical="center"/>
    </xf>
    <xf numFmtId="0" fontId="12" fillId="4" borderId="25" xfId="1" applyFont="1" applyFill="1" applyBorder="1" applyAlignment="1">
      <alignment horizontal="center" vertical="center"/>
    </xf>
    <xf numFmtId="0" fontId="12" fillId="4" borderId="55" xfId="1" applyFont="1" applyFill="1" applyBorder="1" applyAlignment="1">
      <alignment horizontal="center" vertical="center"/>
    </xf>
    <xf numFmtId="0" fontId="12" fillId="4" borderId="25" xfId="1" applyFont="1" applyFill="1" applyBorder="1" applyAlignment="1">
      <alignment horizontal="center" vertical="center" wrapText="1"/>
    </xf>
    <xf numFmtId="0" fontId="12" fillId="4" borderId="55" xfId="1" applyFont="1" applyFill="1" applyBorder="1" applyAlignment="1">
      <alignment horizontal="center" vertical="center" wrapText="1"/>
    </xf>
    <xf numFmtId="0" fontId="12" fillId="4" borderId="40" xfId="1" applyFont="1" applyFill="1" applyBorder="1" applyAlignment="1">
      <alignment horizontal="center" vertical="center" wrapText="1"/>
    </xf>
    <xf numFmtId="0" fontId="12" fillId="4" borderId="54" xfId="1" applyFont="1" applyFill="1" applyBorder="1" applyAlignment="1">
      <alignment horizontal="center" vertical="center" wrapText="1"/>
    </xf>
    <xf numFmtId="0" fontId="43" fillId="0" borderId="0" xfId="1" applyFont="1" applyAlignment="1">
      <alignment horizontal="center" vertical="center"/>
    </xf>
    <xf numFmtId="49" fontId="12" fillId="4" borderId="49" xfId="1" applyNumberFormat="1" applyFont="1" applyFill="1" applyBorder="1" applyAlignment="1">
      <alignment horizontal="center" vertical="center"/>
    </xf>
    <xf numFmtId="49" fontId="12" fillId="4" borderId="74" xfId="1" applyNumberFormat="1" applyFont="1" applyFill="1" applyBorder="1" applyAlignment="1">
      <alignment horizontal="center" vertical="center"/>
    </xf>
    <xf numFmtId="49" fontId="12" fillId="4" borderId="50" xfId="1" applyNumberFormat="1" applyFont="1" applyFill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62" xfId="1" applyFont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3" fontId="7" fillId="0" borderId="56" xfId="1" applyNumberFormat="1" applyFont="1" applyBorder="1" applyAlignment="1">
      <alignment horizontal="left" vertical="center" wrapText="1"/>
    </xf>
    <xf numFmtId="3" fontId="7" fillId="0" borderId="53" xfId="1" applyNumberFormat="1" applyFont="1" applyBorder="1" applyAlignment="1">
      <alignment horizontal="left" vertical="center" wrapText="1"/>
    </xf>
    <xf numFmtId="0" fontId="7" fillId="0" borderId="36" xfId="1" applyFont="1" applyBorder="1" applyAlignment="1">
      <alignment horizontal="center" vertical="center"/>
    </xf>
    <xf numFmtId="0" fontId="7" fillId="0" borderId="59" xfId="1" applyFont="1" applyBorder="1" applyAlignment="1">
      <alignment horizontal="center" vertical="center"/>
    </xf>
    <xf numFmtId="3" fontId="7" fillId="0" borderId="82" xfId="1" applyNumberFormat="1" applyFont="1" applyBorder="1" applyAlignment="1">
      <alignment horizontal="left" vertical="center" wrapText="1"/>
    </xf>
    <xf numFmtId="0" fontId="12" fillId="4" borderId="46" xfId="1" applyFont="1" applyFill="1" applyBorder="1" applyAlignment="1">
      <alignment horizontal="center" vertical="center"/>
    </xf>
    <xf numFmtId="0" fontId="12" fillId="4" borderId="36" xfId="1" applyFont="1" applyFill="1" applyBorder="1" applyAlignment="1">
      <alignment horizontal="center" vertical="center"/>
    </xf>
    <xf numFmtId="0" fontId="12" fillId="4" borderId="39" xfId="1" applyFont="1" applyFill="1" applyBorder="1" applyAlignment="1">
      <alignment horizontal="center" vertical="center"/>
    </xf>
    <xf numFmtId="0" fontId="12" fillId="4" borderId="59" xfId="1" applyFont="1" applyFill="1" applyBorder="1" applyAlignment="1">
      <alignment horizontal="center" vertical="center"/>
    </xf>
    <xf numFmtId="0" fontId="12" fillId="4" borderId="81" xfId="1" applyFont="1" applyFill="1" applyBorder="1" applyAlignment="1">
      <alignment horizontal="center" vertical="center" wrapText="1"/>
    </xf>
    <xf numFmtId="0" fontId="12" fillId="4" borderId="53" xfId="1" applyFont="1" applyFill="1" applyBorder="1" applyAlignment="1">
      <alignment horizontal="center" vertical="center" wrapText="1"/>
    </xf>
    <xf numFmtId="49" fontId="12" fillId="0" borderId="0" xfId="1" applyNumberFormat="1" applyFont="1" applyBorder="1" applyAlignment="1">
      <alignment horizontal="center" vertical="center"/>
    </xf>
    <xf numFmtId="0" fontId="7" fillId="0" borderId="62" xfId="1" applyFont="1" applyFill="1" applyBorder="1" applyAlignment="1">
      <alignment horizontal="center" vertical="center"/>
    </xf>
    <xf numFmtId="0" fontId="7" fillId="0" borderId="42" xfId="1" applyFont="1" applyFill="1" applyBorder="1" applyAlignment="1">
      <alignment horizontal="center" vertical="center"/>
    </xf>
    <xf numFmtId="0" fontId="7" fillId="0" borderId="82" xfId="1" applyFont="1" applyFill="1" applyBorder="1" applyAlignment="1">
      <alignment horizontal="left" vertical="center" wrapText="1"/>
    </xf>
    <xf numFmtId="0" fontId="7" fillId="0" borderId="53" xfId="1" applyFont="1" applyFill="1" applyBorder="1" applyAlignment="1">
      <alignment horizontal="left" vertical="center" wrapText="1"/>
    </xf>
    <xf numFmtId="0" fontId="7" fillId="0" borderId="56" xfId="1" applyFont="1" applyFill="1" applyBorder="1" applyAlignment="1">
      <alignment horizontal="left" vertical="center" wrapText="1"/>
    </xf>
    <xf numFmtId="0" fontId="7" fillId="0" borderId="37" xfId="1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/>
    </xf>
    <xf numFmtId="0" fontId="7" fillId="0" borderId="58" xfId="1" applyFont="1" applyFill="1" applyBorder="1" applyAlignment="1">
      <alignment horizontal="center" vertical="center"/>
    </xf>
    <xf numFmtId="0" fontId="7" fillId="0" borderId="59" xfId="1" applyFont="1" applyFill="1" applyBorder="1" applyAlignment="1">
      <alignment horizontal="center" vertical="center"/>
    </xf>
    <xf numFmtId="0" fontId="7" fillId="0" borderId="54" xfId="1" applyFont="1" applyFill="1" applyBorder="1" applyAlignment="1">
      <alignment horizontal="left" vertical="center" wrapText="1"/>
    </xf>
    <xf numFmtId="0" fontId="38" fillId="0" borderId="0" xfId="1" applyFont="1" applyBorder="1" applyAlignment="1">
      <alignment horizontal="center" vertical="center"/>
    </xf>
    <xf numFmtId="3" fontId="38" fillId="0" borderId="0" xfId="1" applyNumberFormat="1" applyFont="1" applyBorder="1" applyAlignment="1">
      <alignment horizontal="left" vertical="center" wrapText="1"/>
    </xf>
    <xf numFmtId="49" fontId="39" fillId="4" borderId="0" xfId="1" applyNumberFormat="1" applyFont="1" applyFill="1" applyBorder="1" applyAlignment="1">
      <alignment horizontal="center" vertical="center"/>
    </xf>
    <xf numFmtId="0" fontId="39" fillId="4" borderId="0" xfId="1" applyFont="1" applyFill="1" applyBorder="1" applyAlignment="1">
      <alignment horizontal="center" vertical="center"/>
    </xf>
    <xf numFmtId="0" fontId="39" fillId="4" borderId="0" xfId="1" applyFont="1" applyFill="1" applyBorder="1" applyAlignment="1">
      <alignment horizontal="center" vertical="center" wrapText="1"/>
    </xf>
    <xf numFmtId="0" fontId="4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center" vertical="center"/>
    </xf>
    <xf numFmtId="0" fontId="7" fillId="0" borderId="68" xfId="1" applyFont="1" applyBorder="1" applyAlignment="1">
      <alignment horizontal="center" vertical="center"/>
    </xf>
    <xf numFmtId="0" fontId="7" fillId="0" borderId="55" xfId="1" applyFont="1" applyBorder="1" applyAlignment="1">
      <alignment horizontal="center" vertical="center"/>
    </xf>
    <xf numFmtId="3" fontId="7" fillId="0" borderId="54" xfId="1" applyNumberFormat="1" applyFont="1" applyBorder="1" applyAlignment="1">
      <alignment horizontal="left" vertical="center" wrapText="1"/>
    </xf>
    <xf numFmtId="49" fontId="39" fillId="0" borderId="0" xfId="1" applyNumberFormat="1" applyFont="1" applyFill="1" applyBorder="1" applyAlignment="1">
      <alignment horizontal="center" vertical="center"/>
    </xf>
    <xf numFmtId="49" fontId="12" fillId="4" borderId="9" xfId="1" applyNumberFormat="1" applyFont="1" applyFill="1" applyBorder="1" applyAlignment="1">
      <alignment horizontal="center" vertical="center"/>
    </xf>
    <xf numFmtId="49" fontId="12" fillId="4" borderId="13" xfId="1" applyNumberFormat="1" applyFont="1" applyFill="1" applyBorder="1" applyAlignment="1">
      <alignment horizontal="center" vertical="center"/>
    </xf>
    <xf numFmtId="49" fontId="12" fillId="4" borderId="24" xfId="1" applyNumberFormat="1" applyFont="1" applyFill="1" applyBorder="1" applyAlignment="1">
      <alignment horizontal="center" vertical="center"/>
    </xf>
    <xf numFmtId="49" fontId="12" fillId="0" borderId="68" xfId="1" applyNumberFormat="1" applyFont="1" applyBorder="1" applyAlignment="1">
      <alignment horizontal="center" vertical="top"/>
    </xf>
    <xf numFmtId="49" fontId="8" fillId="0" borderId="55" xfId="1" applyNumberFormat="1" applyFont="1" applyBorder="1" applyAlignment="1">
      <alignment horizontal="center" vertical="top"/>
    </xf>
    <xf numFmtId="49" fontId="7" fillId="0" borderId="55" xfId="1" applyNumberFormat="1" applyFont="1" applyBorder="1" applyAlignment="1">
      <alignment horizontal="center" vertical="top"/>
    </xf>
    <xf numFmtId="0" fontId="8" fillId="0" borderId="55" xfId="1" applyFont="1" applyFill="1" applyBorder="1" applyAlignment="1">
      <alignment horizontal="center" vertical="center"/>
    </xf>
    <xf numFmtId="49" fontId="12" fillId="0" borderId="45" xfId="1" applyNumberFormat="1" applyFont="1" applyBorder="1" applyAlignment="1">
      <alignment horizontal="center" vertical="top"/>
    </xf>
    <xf numFmtId="49" fontId="42" fillId="0" borderId="55" xfId="1" applyNumberFormat="1" applyFont="1" applyBorder="1" applyAlignment="1">
      <alignment horizontal="center" vertical="top"/>
    </xf>
    <xf numFmtId="49" fontId="7" fillId="0" borderId="43" xfId="1" applyNumberFormat="1" applyFont="1" applyBorder="1" applyAlignment="1">
      <alignment horizontal="center" vertical="top"/>
    </xf>
    <xf numFmtId="0" fontId="8" fillId="0" borderId="55" xfId="1" applyFont="1" applyBorder="1" applyAlignment="1">
      <alignment horizontal="center" vertical="center"/>
    </xf>
    <xf numFmtId="49" fontId="41" fillId="0" borderId="55" xfId="1" applyNumberFormat="1" applyFont="1" applyBorder="1" applyAlignment="1">
      <alignment horizontal="center" vertical="top"/>
    </xf>
    <xf numFmtId="0" fontId="8" fillId="0" borderId="55" xfId="1" applyFont="1" applyBorder="1" applyAlignment="1">
      <alignment horizontal="center" vertical="center" wrapText="1"/>
    </xf>
    <xf numFmtId="49" fontId="12" fillId="0" borderId="37" xfId="1" applyNumberFormat="1" applyFont="1" applyBorder="1" applyAlignment="1">
      <alignment horizontal="center" vertical="top"/>
    </xf>
    <xf numFmtId="49" fontId="12" fillId="0" borderId="62" xfId="1" applyNumberFormat="1" applyFont="1" applyBorder="1" applyAlignment="1">
      <alignment horizontal="center" vertical="top"/>
    </xf>
    <xf numFmtId="49" fontId="12" fillId="0" borderId="36" xfId="1" applyNumberFormat="1" applyFont="1" applyBorder="1" applyAlignment="1">
      <alignment horizontal="center" vertical="top"/>
    </xf>
    <xf numFmtId="0" fontId="1" fillId="0" borderId="0" xfId="14" applyAlignment="1">
      <alignment horizontal="right"/>
    </xf>
    <xf numFmtId="0" fontId="12" fillId="0" borderId="1" xfId="1" applyFont="1" applyBorder="1" applyAlignment="1">
      <alignment horizontal="center" vertical="center" wrapText="1"/>
    </xf>
    <xf numFmtId="0" fontId="12" fillId="0" borderId="42" xfId="1" applyFont="1" applyBorder="1" applyAlignment="1">
      <alignment horizontal="center" vertical="center" wrapText="1"/>
    </xf>
    <xf numFmtId="0" fontId="12" fillId="0" borderId="60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right" vertical="center" wrapText="1"/>
    </xf>
    <xf numFmtId="49" fontId="12" fillId="0" borderId="46" xfId="1" applyNumberFormat="1" applyFont="1" applyBorder="1" applyAlignment="1">
      <alignment horizontal="center" vertical="top"/>
    </xf>
    <xf numFmtId="49" fontId="41" fillId="0" borderId="25" xfId="1" applyNumberFormat="1" applyFont="1" applyBorder="1" applyAlignment="1">
      <alignment horizontal="center" vertical="top"/>
    </xf>
    <xf numFmtId="3" fontId="44" fillId="0" borderId="0" xfId="1" applyNumberFormat="1" applyFont="1" applyAlignment="1">
      <alignment horizontal="center" vertical="center" wrapText="1"/>
    </xf>
    <xf numFmtId="0" fontId="44" fillId="0" borderId="0" xfId="1" applyFont="1" applyAlignment="1">
      <alignment horizontal="center" vertical="center" wrapText="1"/>
    </xf>
    <xf numFmtId="49" fontId="9" fillId="0" borderId="37" xfId="1" applyNumberFormat="1" applyFont="1" applyBorder="1" applyAlignment="1">
      <alignment horizontal="center" vertical="top"/>
    </xf>
    <xf numFmtId="49" fontId="9" fillId="0" borderId="62" xfId="1" applyNumberFormat="1" applyFont="1" applyBorder="1" applyAlignment="1">
      <alignment horizontal="center" vertical="top"/>
    </xf>
    <xf numFmtId="49" fontId="9" fillId="0" borderId="36" xfId="1" applyNumberFormat="1" applyFont="1" applyBorder="1" applyAlignment="1">
      <alignment horizontal="center" vertical="top"/>
    </xf>
    <xf numFmtId="0" fontId="12" fillId="7" borderId="55" xfId="1" applyFont="1" applyFill="1" applyBorder="1" applyAlignment="1">
      <alignment horizontal="center" vertical="center"/>
    </xf>
    <xf numFmtId="49" fontId="12" fillId="0" borderId="58" xfId="1" applyNumberFormat="1" applyFont="1" applyFill="1" applyBorder="1" applyAlignment="1">
      <alignment horizontal="center" vertical="center"/>
    </xf>
    <xf numFmtId="49" fontId="12" fillId="0" borderId="42" xfId="1" applyNumberFormat="1" applyFont="1" applyFill="1" applyBorder="1" applyAlignment="1">
      <alignment horizontal="center" vertical="center"/>
    </xf>
    <xf numFmtId="49" fontId="12" fillId="0" borderId="59" xfId="1" applyNumberFormat="1" applyFont="1" applyFill="1" applyBorder="1" applyAlignment="1">
      <alignment horizontal="center" vertical="center"/>
    </xf>
    <xf numFmtId="0" fontId="12" fillId="0" borderId="58" xfId="1" applyFont="1" applyFill="1" applyBorder="1" applyAlignment="1">
      <alignment horizontal="center" vertical="center" wrapText="1"/>
    </xf>
    <xf numFmtId="0" fontId="12" fillId="0" borderId="42" xfId="1" applyFont="1" applyFill="1" applyBorder="1" applyAlignment="1">
      <alignment horizontal="center" vertical="center" wrapText="1"/>
    </xf>
    <xf numFmtId="0" fontId="12" fillId="0" borderId="59" xfId="1" applyFont="1" applyFill="1" applyBorder="1" applyAlignment="1">
      <alignment horizontal="center" vertical="center" wrapText="1"/>
    </xf>
    <xf numFmtId="49" fontId="12" fillId="0" borderId="47" xfId="1" applyNumberFormat="1" applyFont="1" applyBorder="1" applyAlignment="1">
      <alignment horizontal="center" vertical="top"/>
    </xf>
    <xf numFmtId="0" fontId="12" fillId="7" borderId="55" xfId="1" applyFont="1" applyFill="1" applyBorder="1" applyAlignment="1">
      <alignment horizontal="center" vertical="center" wrapText="1"/>
    </xf>
    <xf numFmtId="49" fontId="12" fillId="0" borderId="48" xfId="1" applyNumberFormat="1" applyFont="1" applyFill="1" applyBorder="1" applyAlignment="1">
      <alignment horizontal="center" vertical="center"/>
    </xf>
    <xf numFmtId="0" fontId="12" fillId="0" borderId="58" xfId="1" applyFont="1" applyFill="1" applyBorder="1" applyAlignment="1">
      <alignment horizontal="center" vertical="center"/>
    </xf>
    <xf numFmtId="0" fontId="12" fillId="0" borderId="42" xfId="1" applyFont="1" applyFill="1" applyBorder="1" applyAlignment="1">
      <alignment horizontal="center" vertical="center"/>
    </xf>
    <xf numFmtId="0" fontId="12" fillId="0" borderId="48" xfId="1" applyFont="1" applyFill="1" applyBorder="1" applyAlignment="1">
      <alignment horizontal="center" vertical="center"/>
    </xf>
    <xf numFmtId="49" fontId="12" fillId="7" borderId="25" xfId="1" applyNumberFormat="1" applyFont="1" applyFill="1" applyBorder="1" applyAlignment="1">
      <alignment horizontal="center" vertical="center"/>
    </xf>
    <xf numFmtId="49" fontId="12" fillId="4" borderId="29" xfId="1" applyNumberFormat="1" applyFont="1" applyFill="1" applyBorder="1" applyAlignment="1">
      <alignment horizontal="center" vertical="center"/>
    </xf>
    <xf numFmtId="49" fontId="12" fillId="4" borderId="61" xfId="1" applyNumberFormat="1" applyFont="1" applyFill="1" applyBorder="1" applyAlignment="1">
      <alignment horizontal="center" vertical="center"/>
    </xf>
    <xf numFmtId="49" fontId="12" fillId="7" borderId="55" xfId="1" applyNumberFormat="1" applyFont="1" applyFill="1" applyBorder="1" applyAlignment="1">
      <alignment horizontal="center" vertical="center"/>
    </xf>
    <xf numFmtId="0" fontId="12" fillId="7" borderId="59" xfId="1" applyFont="1" applyFill="1" applyBorder="1" applyAlignment="1">
      <alignment horizontal="center" vertical="center"/>
    </xf>
    <xf numFmtId="0" fontId="12" fillId="4" borderId="45" xfId="1" applyFont="1" applyFill="1" applyBorder="1" applyAlignment="1">
      <alignment horizontal="center" vertical="center"/>
    </xf>
    <xf numFmtId="0" fontId="12" fillId="4" borderId="43" xfId="1" applyFont="1" applyFill="1" applyBorder="1" applyAlignment="1">
      <alignment horizontal="center" vertical="center"/>
    </xf>
    <xf numFmtId="0" fontId="12" fillId="4" borderId="42" xfId="1" applyFont="1" applyFill="1" applyBorder="1" applyAlignment="1">
      <alignment horizontal="center" vertical="center"/>
    </xf>
    <xf numFmtId="0" fontId="12" fillId="4" borderId="48" xfId="1" applyFont="1" applyFill="1" applyBorder="1" applyAlignment="1">
      <alignment horizontal="center" vertical="center"/>
    </xf>
    <xf numFmtId="0" fontId="12" fillId="4" borderId="43" xfId="1" applyFont="1" applyFill="1" applyBorder="1" applyAlignment="1">
      <alignment horizontal="center" vertical="center" wrapText="1"/>
    </xf>
    <xf numFmtId="0" fontId="12" fillId="4" borderId="30" xfId="1" applyFont="1" applyFill="1" applyBorder="1" applyAlignment="1">
      <alignment horizontal="center" vertical="center" wrapText="1"/>
    </xf>
    <xf numFmtId="0" fontId="12" fillId="4" borderId="75" xfId="1" applyFont="1" applyFill="1" applyBorder="1" applyAlignment="1">
      <alignment horizontal="center" vertical="center" wrapText="1"/>
    </xf>
    <xf numFmtId="0" fontId="12" fillId="4" borderId="31" xfId="1" applyFont="1" applyFill="1" applyBorder="1" applyAlignment="1">
      <alignment horizontal="center" vertical="center" wrapText="1"/>
    </xf>
    <xf numFmtId="0" fontId="12" fillId="4" borderId="44" xfId="1" applyFont="1" applyFill="1" applyBorder="1" applyAlignment="1">
      <alignment horizontal="center" vertical="center" wrapText="1"/>
    </xf>
    <xf numFmtId="0" fontId="12" fillId="4" borderId="58" xfId="1" applyFont="1" applyFill="1" applyBorder="1" applyAlignment="1">
      <alignment horizontal="center" vertical="center" wrapText="1"/>
    </xf>
    <xf numFmtId="0" fontId="12" fillId="4" borderId="48" xfId="1" applyFont="1" applyFill="1" applyBorder="1" applyAlignment="1">
      <alignment horizontal="center" vertical="center" wrapText="1"/>
    </xf>
    <xf numFmtId="49" fontId="12" fillId="3" borderId="29" xfId="1" applyNumberFormat="1" applyFont="1" applyFill="1" applyBorder="1" applyAlignment="1">
      <alignment horizontal="center" vertical="center"/>
    </xf>
    <xf numFmtId="49" fontId="12" fillId="3" borderId="48" xfId="1" applyNumberFormat="1" applyFont="1" applyFill="1" applyBorder="1" applyAlignment="1">
      <alignment horizontal="center" vertical="center"/>
    </xf>
    <xf numFmtId="49" fontId="12" fillId="3" borderId="61" xfId="1" applyNumberFormat="1" applyFont="1" applyFill="1" applyBorder="1" applyAlignment="1">
      <alignment horizontal="center" vertical="center"/>
    </xf>
    <xf numFmtId="49" fontId="12" fillId="3" borderId="28" xfId="1" applyNumberFormat="1" applyFont="1" applyFill="1" applyBorder="1" applyAlignment="1">
      <alignment horizontal="center" vertical="center"/>
    </xf>
    <xf numFmtId="0" fontId="24" fillId="0" borderId="0" xfId="1" applyFont="1" applyAlignment="1">
      <alignment horizontal="center" vertical="center" wrapText="1"/>
    </xf>
    <xf numFmtId="49" fontId="12" fillId="0" borderId="19" xfId="1" applyNumberFormat="1" applyFont="1" applyBorder="1" applyAlignment="1">
      <alignment horizontal="center" vertical="center" wrapText="1"/>
    </xf>
    <xf numFmtId="49" fontId="12" fillId="0" borderId="17" xfId="1" applyNumberFormat="1" applyFont="1" applyBorder="1" applyAlignment="1">
      <alignment horizontal="center" vertical="center" wrapText="1"/>
    </xf>
    <xf numFmtId="49" fontId="12" fillId="0" borderId="14" xfId="1" applyNumberFormat="1" applyFont="1" applyBorder="1" applyAlignment="1">
      <alignment horizontal="center" vertical="center" wrapText="1"/>
    </xf>
    <xf numFmtId="0" fontId="9" fillId="4" borderId="29" xfId="1" applyFont="1" applyFill="1" applyBorder="1" applyAlignment="1">
      <alignment horizontal="center" vertical="center"/>
    </xf>
    <xf numFmtId="0" fontId="9" fillId="4" borderId="61" xfId="1" applyFont="1" applyFill="1" applyBorder="1" applyAlignment="1">
      <alignment horizontal="center" vertical="center"/>
    </xf>
    <xf numFmtId="0" fontId="9" fillId="4" borderId="52" xfId="1" applyFont="1" applyFill="1" applyBorder="1" applyAlignment="1">
      <alignment horizontal="center" vertical="center"/>
    </xf>
    <xf numFmtId="49" fontId="7" fillId="0" borderId="19" xfId="1" applyNumberFormat="1" applyFont="1" applyBorder="1" applyAlignment="1">
      <alignment horizontal="center" vertical="center" wrapText="1"/>
    </xf>
    <xf numFmtId="49" fontId="7" fillId="0" borderId="17" xfId="1" applyNumberFormat="1" applyFont="1" applyBorder="1" applyAlignment="1">
      <alignment horizontal="center" vertical="center" wrapText="1"/>
    </xf>
    <xf numFmtId="49" fontId="7" fillId="0" borderId="14" xfId="1" applyNumberFormat="1" applyFont="1" applyBorder="1" applyAlignment="1">
      <alignment horizontal="center" vertical="center" wrapText="1"/>
    </xf>
    <xf numFmtId="0" fontId="8" fillId="6" borderId="78" xfId="1" applyFont="1" applyFill="1" applyBorder="1" applyAlignment="1">
      <alignment horizontal="center" vertical="center"/>
    </xf>
    <xf numFmtId="0" fontId="8" fillId="6" borderId="79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right" vertical="center" wrapText="1"/>
    </xf>
    <xf numFmtId="0" fontId="12" fillId="3" borderId="76" xfId="1" applyFont="1" applyFill="1" applyBorder="1" applyAlignment="1">
      <alignment horizontal="center" vertical="center"/>
    </xf>
    <xf numFmtId="0" fontId="12" fillId="3" borderId="49" xfId="1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/>
    </xf>
    <xf numFmtId="0" fontId="12" fillId="3" borderId="34" xfId="1" applyFont="1" applyFill="1" applyBorder="1" applyAlignment="1">
      <alignment horizontal="center" vertical="center"/>
    </xf>
    <xf numFmtId="0" fontId="12" fillId="3" borderId="75" xfId="1" applyFont="1" applyFill="1" applyBorder="1" applyAlignment="1">
      <alignment horizontal="center" vertical="center"/>
    </xf>
    <xf numFmtId="0" fontId="12" fillId="3" borderId="67" xfId="1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 wrapText="1"/>
    </xf>
    <xf numFmtId="0" fontId="9" fillId="3" borderId="31" xfId="1" applyFont="1" applyFill="1" applyBorder="1" applyAlignment="1">
      <alignment horizontal="center" vertical="center" wrapText="1"/>
    </xf>
    <xf numFmtId="0" fontId="9" fillId="3" borderId="40" xfId="1" applyFont="1" applyFill="1" applyBorder="1" applyAlignment="1">
      <alignment horizontal="center" vertical="center" wrapText="1"/>
    </xf>
    <xf numFmtId="0" fontId="12" fillId="4" borderId="9" xfId="2" applyFont="1" applyFill="1" applyBorder="1" applyAlignment="1">
      <alignment horizontal="left"/>
    </xf>
    <xf numFmtId="0" fontId="12" fillId="4" borderId="13" xfId="2" applyFont="1" applyFill="1" applyBorder="1" applyAlignment="1">
      <alignment horizontal="left"/>
    </xf>
    <xf numFmtId="0" fontId="11" fillId="2" borderId="9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50" fillId="0" borderId="0" xfId="2" applyFont="1" applyAlignment="1">
      <alignment horizontal="right" vertical="center" wrapText="1"/>
    </xf>
    <xf numFmtId="0" fontId="16" fillId="0" borderId="27" xfId="2" applyFont="1" applyBorder="1" applyAlignment="1">
      <alignment horizontal="center" vertical="center" wrapText="1"/>
    </xf>
  </cellXfs>
  <cellStyles count="16">
    <cellStyle name="Normalny" xfId="0" builtinId="0"/>
    <cellStyle name="Normalny 2" xfId="1"/>
    <cellStyle name="Normalny 2 2" xfId="2"/>
    <cellStyle name="Normalny 2 2 2" xfId="13"/>
    <cellStyle name="Normalny 3" xfId="3"/>
    <cellStyle name="Normalny 3 2" xfId="4"/>
    <cellStyle name="Normalny 3 2 2" xfId="5"/>
    <cellStyle name="Normalny 4" xfId="6"/>
    <cellStyle name="Normalny 5" xfId="9"/>
    <cellStyle name="Normalny 5 2" xfId="12"/>
    <cellStyle name="Normalny 5 2 2" xfId="14"/>
    <cellStyle name="Normalny 6" xfId="10"/>
    <cellStyle name="Normalny 7" xfId="15"/>
    <cellStyle name="Normalny_Arkusz1" xfId="11"/>
    <cellStyle name="Procentowy 2" xfId="7"/>
    <cellStyle name="Walutowy 2" xfId="8"/>
  </cellStyles>
  <dxfs count="0"/>
  <tableStyles count="0" defaultTableStyle="TableStyleMedium9" defaultPivotStyle="PivotStyleLight16"/>
  <colors>
    <mruColors>
      <color rgb="FF99FF33"/>
      <color rgb="FF99CCFF"/>
      <color rgb="FFCCCC00"/>
      <color rgb="FFFFFF66"/>
      <color rgb="FFFFCC00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</sheetPr>
  <dimension ref="A1:E868"/>
  <sheetViews>
    <sheetView view="pageBreakPreview" zoomScale="85" zoomScaleNormal="100" zoomScaleSheetLayoutView="85" workbookViewId="0">
      <selection activeCell="D2" sqref="D2:E3"/>
    </sheetView>
  </sheetViews>
  <sheetFormatPr defaultRowHeight="15"/>
  <cols>
    <col min="1" max="1" width="6.42578125" style="470" customWidth="1"/>
    <col min="2" max="2" width="8.85546875" style="470" customWidth="1"/>
    <col min="3" max="3" width="64" style="471" customWidth="1"/>
    <col min="4" max="4" width="10.7109375" style="471" customWidth="1"/>
    <col min="5" max="5" width="18.42578125" style="472" customWidth="1"/>
    <col min="6" max="16384" width="9.140625" style="473"/>
  </cols>
  <sheetData>
    <row r="1" spans="1:5" ht="15" customHeight="1"/>
    <row r="2" spans="1:5" ht="29.25" customHeight="1">
      <c r="D2" s="1430" t="s">
        <v>1053</v>
      </c>
      <c r="E2" s="1430"/>
    </row>
    <row r="3" spans="1:5" ht="21" customHeight="1">
      <c r="D3" s="1430"/>
      <c r="E3" s="1430"/>
    </row>
    <row r="4" spans="1:5" ht="27.75" customHeight="1">
      <c r="A4" s="1431" t="s">
        <v>582</v>
      </c>
      <c r="B4" s="1431"/>
      <c r="C4" s="1431"/>
      <c r="D4" s="1431"/>
      <c r="E4" s="474"/>
    </row>
    <row r="5" spans="1:5" ht="18" customHeight="1">
      <c r="A5" s="1431"/>
      <c r="B5" s="1431"/>
      <c r="C5" s="1431"/>
      <c r="D5" s="1431"/>
      <c r="E5" s="474"/>
    </row>
    <row r="6" spans="1:5" ht="12" customHeight="1" thickBot="1">
      <c r="A6" s="475"/>
      <c r="B6" s="476"/>
      <c r="C6" s="477"/>
      <c r="D6" s="477"/>
    </row>
    <row r="7" spans="1:5" ht="36.75" customHeight="1" thickBot="1">
      <c r="A7" s="1432" t="s">
        <v>0</v>
      </c>
      <c r="B7" s="1433" t="s">
        <v>583</v>
      </c>
      <c r="C7" s="1434" t="s">
        <v>584</v>
      </c>
      <c r="D7" s="1435" t="s">
        <v>5</v>
      </c>
      <c r="E7" s="1436" t="s">
        <v>585</v>
      </c>
    </row>
    <row r="8" spans="1:5" ht="36.75" customHeight="1" thickBot="1">
      <c r="A8" s="1432"/>
      <c r="B8" s="1433"/>
      <c r="C8" s="1434"/>
      <c r="D8" s="1435"/>
      <c r="E8" s="1437"/>
    </row>
    <row r="9" spans="1:5" ht="15.75" thickBot="1">
      <c r="A9" s="478" t="s">
        <v>308</v>
      </c>
      <c r="B9" s="479" t="s">
        <v>309</v>
      </c>
      <c r="C9" s="480" t="s">
        <v>310</v>
      </c>
      <c r="D9" s="481" t="s">
        <v>311</v>
      </c>
      <c r="E9" s="482" t="s">
        <v>312</v>
      </c>
    </row>
    <row r="10" spans="1:5" ht="15.75" thickBot="1">
      <c r="A10" s="483" t="s">
        <v>116</v>
      </c>
      <c r="B10" s="484"/>
      <c r="C10" s="485" t="s">
        <v>218</v>
      </c>
      <c r="D10" s="486"/>
      <c r="E10" s="487">
        <f>SUM(E11,E16,E23,E28,E32)</f>
        <v>30183158</v>
      </c>
    </row>
    <row r="11" spans="1:5" ht="15.75" thickBot="1">
      <c r="A11" s="1443"/>
      <c r="B11" s="488" t="s">
        <v>586</v>
      </c>
      <c r="C11" s="489" t="s">
        <v>587</v>
      </c>
      <c r="D11" s="490"/>
      <c r="E11" s="491">
        <f>SUM(E12,E15)</f>
        <v>9802000</v>
      </c>
    </row>
    <row r="12" spans="1:5" ht="15" customHeight="1">
      <c r="A12" s="1443"/>
      <c r="B12" s="1460" t="s">
        <v>588</v>
      </c>
      <c r="C12" s="1460"/>
      <c r="D12" s="492"/>
      <c r="E12" s="493">
        <f>SUM(E13:E14)</f>
        <v>9802000</v>
      </c>
    </row>
    <row r="13" spans="1:5" ht="21" customHeight="1">
      <c r="A13" s="1443"/>
      <c r="B13" s="1461"/>
      <c r="C13" s="1462" t="s">
        <v>589</v>
      </c>
      <c r="D13" s="494" t="s">
        <v>590</v>
      </c>
      <c r="E13" s="495">
        <v>9800000</v>
      </c>
    </row>
    <row r="14" spans="1:5" ht="18.75" customHeight="1">
      <c r="A14" s="1443"/>
      <c r="B14" s="1461"/>
      <c r="C14" s="1462"/>
      <c r="D14" s="496" t="s">
        <v>591</v>
      </c>
      <c r="E14" s="495">
        <v>2000</v>
      </c>
    </row>
    <row r="15" spans="1:5" ht="15" customHeight="1" thickBot="1">
      <c r="A15" s="1443"/>
      <c r="B15" s="1463" t="s">
        <v>592</v>
      </c>
      <c r="C15" s="1463"/>
      <c r="D15" s="497"/>
      <c r="E15" s="498">
        <v>0</v>
      </c>
    </row>
    <row r="16" spans="1:5" ht="15.75" thickBot="1">
      <c r="A16" s="1443"/>
      <c r="B16" s="499" t="s">
        <v>219</v>
      </c>
      <c r="C16" s="500" t="s">
        <v>220</v>
      </c>
      <c r="D16" s="501"/>
      <c r="E16" s="491">
        <f>SUM(E17,E20)</f>
        <v>7372158</v>
      </c>
    </row>
    <row r="17" spans="1:5">
      <c r="A17" s="1443"/>
      <c r="B17" s="1452" t="s">
        <v>588</v>
      </c>
      <c r="C17" s="1453"/>
      <c r="D17" s="502"/>
      <c r="E17" s="503">
        <f>SUM(E18:E19)</f>
        <v>4354158</v>
      </c>
    </row>
    <row r="18" spans="1:5" ht="41.25" customHeight="1">
      <c r="A18" s="1443"/>
      <c r="B18" s="1464"/>
      <c r="C18" s="504" t="s">
        <v>593</v>
      </c>
      <c r="D18" s="505">
        <v>2210</v>
      </c>
      <c r="E18" s="506">
        <v>4350000</v>
      </c>
    </row>
    <row r="19" spans="1:5" ht="42" customHeight="1">
      <c r="A19" s="1443"/>
      <c r="B19" s="1464"/>
      <c r="C19" s="507" t="s">
        <v>594</v>
      </c>
      <c r="D19" s="508">
        <v>2360</v>
      </c>
      <c r="E19" s="506">
        <v>4158</v>
      </c>
    </row>
    <row r="20" spans="1:5">
      <c r="A20" s="1443"/>
      <c r="B20" s="1438" t="s">
        <v>595</v>
      </c>
      <c r="C20" s="1456"/>
      <c r="D20" s="509"/>
      <c r="E20" s="510">
        <f>SUM(E21:E22)</f>
        <v>3018000</v>
      </c>
    </row>
    <row r="21" spans="1:5" ht="44.25" customHeight="1">
      <c r="A21" s="1443"/>
      <c r="B21" s="1464"/>
      <c r="C21" s="511" t="s">
        <v>596</v>
      </c>
      <c r="D21" s="1450">
        <v>6510</v>
      </c>
      <c r="E21" s="506">
        <v>2727000</v>
      </c>
    </row>
    <row r="22" spans="1:5" ht="76.5" customHeight="1" thickBot="1">
      <c r="A22" s="1443"/>
      <c r="B22" s="1464"/>
      <c r="C22" s="512" t="s">
        <v>597</v>
      </c>
      <c r="D22" s="1451"/>
      <c r="E22" s="513">
        <v>291000</v>
      </c>
    </row>
    <row r="23" spans="1:5" ht="15.75" thickBot="1">
      <c r="A23" s="1443"/>
      <c r="B23" s="488" t="s">
        <v>433</v>
      </c>
      <c r="C23" s="514" t="s">
        <v>598</v>
      </c>
      <c r="D23" s="501"/>
      <c r="E23" s="491">
        <f>SUM(E24,E27)</f>
        <v>4915000</v>
      </c>
    </row>
    <row r="24" spans="1:5">
      <c r="A24" s="1443"/>
      <c r="B24" s="1452" t="s">
        <v>588</v>
      </c>
      <c r="C24" s="1453"/>
      <c r="D24" s="515"/>
      <c r="E24" s="493">
        <f>SUM(E25:E26)</f>
        <v>4915000</v>
      </c>
    </row>
    <row r="25" spans="1:5" ht="42.75" customHeight="1">
      <c r="A25" s="1443"/>
      <c r="B25" s="1454"/>
      <c r="C25" s="516" t="s">
        <v>599</v>
      </c>
      <c r="D25" s="517">
        <v>2058</v>
      </c>
      <c r="E25" s="495">
        <v>3127000</v>
      </c>
    </row>
    <row r="26" spans="1:5" ht="41.25" customHeight="1">
      <c r="A26" s="1443"/>
      <c r="B26" s="1455"/>
      <c r="C26" s="518" t="s">
        <v>600</v>
      </c>
      <c r="D26" s="519">
        <v>2059</v>
      </c>
      <c r="E26" s="495">
        <v>1788000</v>
      </c>
    </row>
    <row r="27" spans="1:5">
      <c r="A27" s="1443"/>
      <c r="B27" s="1438" t="s">
        <v>592</v>
      </c>
      <c r="C27" s="1456"/>
      <c r="D27" s="509"/>
      <c r="E27" s="510">
        <v>0</v>
      </c>
    </row>
    <row r="28" spans="1:5" ht="15.75" thickBot="1">
      <c r="A28" s="1443"/>
      <c r="B28" s="520" t="s">
        <v>117</v>
      </c>
      <c r="C28" s="521" t="s">
        <v>601</v>
      </c>
      <c r="D28" s="522"/>
      <c r="E28" s="523">
        <f>SUM(E31,E29)</f>
        <v>8000000</v>
      </c>
    </row>
    <row r="29" spans="1:5">
      <c r="A29" s="1443"/>
      <c r="B29" s="1457" t="s">
        <v>588</v>
      </c>
      <c r="C29" s="1457"/>
      <c r="D29" s="524"/>
      <c r="E29" s="493">
        <f>SUM(E30:E30)</f>
        <v>8000000</v>
      </c>
    </row>
    <row r="30" spans="1:5" ht="25.5" customHeight="1">
      <c r="A30" s="1443"/>
      <c r="B30" s="525"/>
      <c r="C30" s="526" t="s">
        <v>602</v>
      </c>
      <c r="D30" s="527" t="s">
        <v>603</v>
      </c>
      <c r="E30" s="495">
        <v>8000000</v>
      </c>
    </row>
    <row r="31" spans="1:5" ht="15.75" thickBot="1">
      <c r="A31" s="1443"/>
      <c r="B31" s="1458" t="s">
        <v>592</v>
      </c>
      <c r="C31" s="1459"/>
      <c r="D31" s="528"/>
      <c r="E31" s="498">
        <v>0</v>
      </c>
    </row>
    <row r="32" spans="1:5" ht="15.75" thickBot="1">
      <c r="A32" s="529"/>
      <c r="B32" s="530" t="s">
        <v>118</v>
      </c>
      <c r="C32" s="514" t="s">
        <v>213</v>
      </c>
      <c r="D32" s="501"/>
      <c r="E32" s="531">
        <f>E33+E35</f>
        <v>94000</v>
      </c>
    </row>
    <row r="33" spans="1:5">
      <c r="A33" s="529"/>
      <c r="B33" s="1438" t="s">
        <v>588</v>
      </c>
      <c r="C33" s="1439"/>
      <c r="D33" s="509"/>
      <c r="E33" s="510">
        <f>SUM(E34:E34)</f>
        <v>94000</v>
      </c>
    </row>
    <row r="34" spans="1:5" ht="40.5" customHeight="1">
      <c r="A34" s="529"/>
      <c r="B34" s="525"/>
      <c r="C34" s="532" t="s">
        <v>593</v>
      </c>
      <c r="D34" s="533">
        <v>2210</v>
      </c>
      <c r="E34" s="534">
        <v>94000</v>
      </c>
    </row>
    <row r="35" spans="1:5" ht="15.75" thickBot="1">
      <c r="A35" s="535"/>
      <c r="B35" s="1440" t="s">
        <v>592</v>
      </c>
      <c r="C35" s="1441"/>
      <c r="D35" s="536"/>
      <c r="E35" s="498">
        <v>0</v>
      </c>
    </row>
    <row r="36" spans="1:5" s="542" customFormat="1" ht="15.75" customHeight="1" thickBot="1">
      <c r="A36" s="537" t="s">
        <v>446</v>
      </c>
      <c r="B36" s="538"/>
      <c r="C36" s="539" t="s">
        <v>604</v>
      </c>
      <c r="D36" s="540"/>
      <c r="E36" s="541">
        <f t="shared" ref="E36" si="0">SUM(E37)</f>
        <v>600000</v>
      </c>
    </row>
    <row r="37" spans="1:5" ht="44.25" customHeight="1" thickBot="1">
      <c r="A37" s="1442"/>
      <c r="B37" s="543" t="s">
        <v>447</v>
      </c>
      <c r="C37" s="489" t="s">
        <v>605</v>
      </c>
      <c r="D37" s="490"/>
      <c r="E37" s="491">
        <f t="shared" ref="E37" si="1">SUM(E38,E41)</f>
        <v>600000</v>
      </c>
    </row>
    <row r="38" spans="1:5">
      <c r="A38" s="1443"/>
      <c r="B38" s="1444" t="s">
        <v>588</v>
      </c>
      <c r="C38" s="1445"/>
      <c r="D38" s="502"/>
      <c r="E38" s="493">
        <f t="shared" ref="E38" si="2">SUM(E39:E40)</f>
        <v>600000</v>
      </c>
    </row>
    <row r="39" spans="1:5" ht="33.75" customHeight="1">
      <c r="A39" s="1443"/>
      <c r="B39" s="1446"/>
      <c r="C39" s="526" t="s">
        <v>606</v>
      </c>
      <c r="D39" s="544">
        <v>2058</v>
      </c>
      <c r="E39" s="495">
        <v>450000</v>
      </c>
    </row>
    <row r="40" spans="1:5" ht="40.5" customHeight="1">
      <c r="A40" s="1443"/>
      <c r="B40" s="1447"/>
      <c r="C40" s="545" t="s">
        <v>607</v>
      </c>
      <c r="D40" s="544">
        <v>2059</v>
      </c>
      <c r="E40" s="513">
        <v>150000</v>
      </c>
    </row>
    <row r="41" spans="1:5" ht="15.75" thickBot="1">
      <c r="A41" s="1443"/>
      <c r="B41" s="1448" t="s">
        <v>592</v>
      </c>
      <c r="C41" s="1449"/>
      <c r="D41" s="515"/>
      <c r="E41" s="546">
        <v>0</v>
      </c>
    </row>
    <row r="42" spans="1:5" s="542" customFormat="1" ht="15.75" customHeight="1" thickBot="1">
      <c r="A42" s="537" t="s">
        <v>264</v>
      </c>
      <c r="B42" s="547"/>
      <c r="C42" s="548" t="s">
        <v>265</v>
      </c>
      <c r="D42" s="549"/>
      <c r="E42" s="550">
        <f t="shared" ref="E42" si="3">SUM(E43)</f>
        <v>1368</v>
      </c>
    </row>
    <row r="43" spans="1:5" ht="15" customHeight="1">
      <c r="A43" s="1442"/>
      <c r="B43" s="551" t="s">
        <v>266</v>
      </c>
      <c r="C43" s="552" t="s">
        <v>213</v>
      </c>
      <c r="D43" s="553"/>
      <c r="E43" s="491">
        <f t="shared" ref="E43" si="4">SUM(E46,E44)</f>
        <v>1368</v>
      </c>
    </row>
    <row r="44" spans="1:5">
      <c r="A44" s="1443"/>
      <c r="B44" s="1438" t="s">
        <v>588</v>
      </c>
      <c r="C44" s="1439"/>
      <c r="D44" s="509"/>
      <c r="E44" s="510">
        <f t="shared" ref="E44" si="5">SUM(E45)</f>
        <v>1368</v>
      </c>
    </row>
    <row r="45" spans="1:5" ht="42" customHeight="1">
      <c r="A45" s="1443"/>
      <c r="B45" s="554"/>
      <c r="C45" s="532" t="s">
        <v>594</v>
      </c>
      <c r="D45" s="555">
        <v>2360</v>
      </c>
      <c r="E45" s="495">
        <v>1368</v>
      </c>
    </row>
    <row r="46" spans="1:5" ht="15.75" thickBot="1">
      <c r="A46" s="1443"/>
      <c r="B46" s="1440" t="s">
        <v>608</v>
      </c>
      <c r="C46" s="1441"/>
      <c r="D46" s="536"/>
      <c r="E46" s="556">
        <v>0</v>
      </c>
    </row>
    <row r="47" spans="1:5" ht="15.75" thickBot="1">
      <c r="A47" s="557">
        <v>600</v>
      </c>
      <c r="B47" s="558"/>
      <c r="C47" s="559" t="s">
        <v>141</v>
      </c>
      <c r="D47" s="486"/>
      <c r="E47" s="487">
        <f>SUM(E48,E58,E62,E66,E76,E54)</f>
        <v>219674246</v>
      </c>
    </row>
    <row r="48" spans="1:5" ht="15.75" thickBot="1">
      <c r="A48" s="1465"/>
      <c r="B48" s="560">
        <v>60001</v>
      </c>
      <c r="C48" s="514" t="s">
        <v>187</v>
      </c>
      <c r="D48" s="501"/>
      <c r="E48" s="491">
        <f>SUM(E49,E53)</f>
        <v>49729744</v>
      </c>
    </row>
    <row r="49" spans="1:5">
      <c r="A49" s="1451"/>
      <c r="B49" s="1452" t="s">
        <v>588</v>
      </c>
      <c r="C49" s="1467"/>
      <c r="D49" s="561"/>
      <c r="E49" s="503">
        <f>SUM(E50:E52)</f>
        <v>49729744</v>
      </c>
    </row>
    <row r="50" spans="1:5" ht="24" customHeight="1">
      <c r="A50" s="1451"/>
      <c r="B50" s="1454"/>
      <c r="C50" s="562" t="s">
        <v>609</v>
      </c>
      <c r="D50" s="563" t="s">
        <v>610</v>
      </c>
      <c r="E50" s="564">
        <v>9487419</v>
      </c>
    </row>
    <row r="51" spans="1:5" ht="22.5" customHeight="1">
      <c r="A51" s="1451"/>
      <c r="B51" s="1454"/>
      <c r="C51" s="565" t="s">
        <v>611</v>
      </c>
      <c r="D51" s="566" t="s">
        <v>591</v>
      </c>
      <c r="E51" s="534">
        <v>29474500</v>
      </c>
    </row>
    <row r="52" spans="1:5" ht="30.75" customHeight="1">
      <c r="A52" s="1451"/>
      <c r="B52" s="1454"/>
      <c r="C52" s="567" t="s">
        <v>612</v>
      </c>
      <c r="D52" s="568" t="s">
        <v>613</v>
      </c>
      <c r="E52" s="534">
        <v>10767825</v>
      </c>
    </row>
    <row r="53" spans="1:5" ht="15.75" customHeight="1" thickBot="1">
      <c r="A53" s="1451"/>
      <c r="B53" s="1438" t="s">
        <v>592</v>
      </c>
      <c r="C53" s="1468"/>
      <c r="D53" s="569"/>
      <c r="E53" s="510">
        <v>0</v>
      </c>
    </row>
    <row r="54" spans="1:5" ht="15.75" thickBot="1">
      <c r="A54" s="1451"/>
      <c r="B54" s="560">
        <v>60002</v>
      </c>
      <c r="C54" s="514" t="s">
        <v>614</v>
      </c>
      <c r="D54" s="501"/>
      <c r="E54" s="491">
        <f>E55+E56</f>
        <v>6256270</v>
      </c>
    </row>
    <row r="55" spans="1:5">
      <c r="A55" s="1451"/>
      <c r="B55" s="1452" t="s">
        <v>615</v>
      </c>
      <c r="C55" s="1467"/>
      <c r="D55" s="561"/>
      <c r="E55" s="503">
        <v>0</v>
      </c>
    </row>
    <row r="56" spans="1:5" ht="15.75" customHeight="1">
      <c r="A56" s="1451"/>
      <c r="B56" s="1438" t="s">
        <v>595</v>
      </c>
      <c r="C56" s="1468"/>
      <c r="D56" s="569"/>
      <c r="E56" s="510">
        <f>E57</f>
        <v>6256270</v>
      </c>
    </row>
    <row r="57" spans="1:5" ht="52.5" customHeight="1" thickBot="1">
      <c r="A57" s="1451"/>
      <c r="B57" s="570"/>
      <c r="C57" s="571" t="s">
        <v>616</v>
      </c>
      <c r="D57" s="572">
        <v>6257</v>
      </c>
      <c r="E57" s="573">
        <v>6256270</v>
      </c>
    </row>
    <row r="58" spans="1:5" ht="15.75" thickBot="1">
      <c r="A58" s="1451"/>
      <c r="B58" s="574">
        <v>60003</v>
      </c>
      <c r="C58" s="575" t="s">
        <v>221</v>
      </c>
      <c r="D58" s="490"/>
      <c r="E58" s="491">
        <f>SUM(E59,E61)</f>
        <v>57000000</v>
      </c>
    </row>
    <row r="59" spans="1:5">
      <c r="A59" s="1451"/>
      <c r="B59" s="1469" t="s">
        <v>588</v>
      </c>
      <c r="C59" s="1445"/>
      <c r="D59" s="515"/>
      <c r="E59" s="493">
        <f>SUM(E60:E60)</f>
        <v>57000000</v>
      </c>
    </row>
    <row r="60" spans="1:5" ht="39.75" customHeight="1">
      <c r="A60" s="1451"/>
      <c r="B60" s="576"/>
      <c r="C60" s="526" t="s">
        <v>593</v>
      </c>
      <c r="D60" s="577">
        <v>2210</v>
      </c>
      <c r="E60" s="495">
        <v>57000000</v>
      </c>
    </row>
    <row r="61" spans="1:5" ht="15.75" thickBot="1">
      <c r="A61" s="1451"/>
      <c r="B61" s="1440" t="s">
        <v>592</v>
      </c>
      <c r="C61" s="1441"/>
      <c r="D61" s="536"/>
      <c r="E61" s="556">
        <v>0</v>
      </c>
    </row>
    <row r="62" spans="1:5" ht="15.75" thickBot="1">
      <c r="A62" s="1451"/>
      <c r="B62" s="560">
        <v>60004</v>
      </c>
      <c r="C62" s="514" t="s">
        <v>617</v>
      </c>
      <c r="D62" s="501"/>
      <c r="E62" s="491">
        <f>SUM(E65,E63)</f>
        <v>450000</v>
      </c>
    </row>
    <row r="63" spans="1:5">
      <c r="A63" s="1451"/>
      <c r="B63" s="1444" t="s">
        <v>588</v>
      </c>
      <c r="C63" s="1445"/>
      <c r="D63" s="515"/>
      <c r="E63" s="493">
        <f>SUM(E64:E64)</f>
        <v>450000</v>
      </c>
    </row>
    <row r="64" spans="1:5" ht="21" customHeight="1">
      <c r="A64" s="1451"/>
      <c r="B64" s="578"/>
      <c r="C64" s="579" t="s">
        <v>618</v>
      </c>
      <c r="D64" s="580" t="s">
        <v>619</v>
      </c>
      <c r="E64" s="506">
        <v>450000</v>
      </c>
    </row>
    <row r="65" spans="1:5" ht="15.75" thickBot="1">
      <c r="A65" s="1451"/>
      <c r="B65" s="1440" t="s">
        <v>592</v>
      </c>
      <c r="C65" s="1441"/>
      <c r="D65" s="536"/>
      <c r="E65" s="556">
        <v>0</v>
      </c>
    </row>
    <row r="66" spans="1:5" ht="15.75" thickBot="1">
      <c r="A66" s="1451"/>
      <c r="B66" s="581">
        <v>60013</v>
      </c>
      <c r="C66" s="514" t="s">
        <v>620</v>
      </c>
      <c r="D66" s="501"/>
      <c r="E66" s="491">
        <f>SUM(E67,E71)</f>
        <v>106083661</v>
      </c>
    </row>
    <row r="67" spans="1:5">
      <c r="A67" s="1451"/>
      <c r="B67" s="1469" t="s">
        <v>588</v>
      </c>
      <c r="C67" s="1470"/>
      <c r="D67" s="515"/>
      <c r="E67" s="493">
        <f>SUM(E68:E70)</f>
        <v>17249651</v>
      </c>
    </row>
    <row r="68" spans="1:5">
      <c r="A68" s="1451"/>
      <c r="B68" s="1454"/>
      <c r="C68" s="1479" t="s">
        <v>621</v>
      </c>
      <c r="D68" s="582" t="s">
        <v>619</v>
      </c>
      <c r="E68" s="506">
        <v>800000</v>
      </c>
    </row>
    <row r="69" spans="1:5" ht="14.25" customHeight="1">
      <c r="A69" s="1451"/>
      <c r="B69" s="1454"/>
      <c r="C69" s="1480"/>
      <c r="D69" s="527" t="s">
        <v>591</v>
      </c>
      <c r="E69" s="495">
        <v>9000</v>
      </c>
    </row>
    <row r="70" spans="1:5" ht="31.5" customHeight="1">
      <c r="A70" s="1451"/>
      <c r="B70" s="1454"/>
      <c r="C70" s="583" t="s">
        <v>622</v>
      </c>
      <c r="D70" s="527" t="s">
        <v>623</v>
      </c>
      <c r="E70" s="495">
        <v>16440651</v>
      </c>
    </row>
    <row r="71" spans="1:5">
      <c r="A71" s="1451"/>
      <c r="B71" s="1438" t="s">
        <v>595</v>
      </c>
      <c r="C71" s="1470"/>
      <c r="D71" s="584"/>
      <c r="E71" s="556">
        <f>SUM(E72:E75)</f>
        <v>88834010</v>
      </c>
    </row>
    <row r="72" spans="1:5" ht="39.75" customHeight="1">
      <c r="A72" s="1451"/>
      <c r="B72" s="1454"/>
      <c r="C72" s="585" t="s">
        <v>624</v>
      </c>
      <c r="D72" s="1450">
        <v>6257</v>
      </c>
      <c r="E72" s="534">
        <f>80379462-2125000</f>
        <v>78254462</v>
      </c>
    </row>
    <row r="73" spans="1:5" ht="41.25" customHeight="1">
      <c r="A73" s="1451"/>
      <c r="B73" s="1454"/>
      <c r="C73" s="586" t="s">
        <v>625</v>
      </c>
      <c r="D73" s="1472"/>
      <c r="E73" s="506">
        <v>1462735</v>
      </c>
    </row>
    <row r="74" spans="1:5" ht="21" customHeight="1">
      <c r="A74" s="1451"/>
      <c r="B74" s="1454"/>
      <c r="C74" s="1473" t="s">
        <v>626</v>
      </c>
      <c r="D74" s="505">
        <v>6300</v>
      </c>
      <c r="E74" s="495">
        <v>2320597</v>
      </c>
    </row>
    <row r="75" spans="1:5" ht="20.25" customHeight="1" thickBot="1">
      <c r="A75" s="1451"/>
      <c r="B75" s="1454"/>
      <c r="C75" s="1474"/>
      <c r="D75" s="555">
        <v>6309</v>
      </c>
      <c r="E75" s="513">
        <v>6796216</v>
      </c>
    </row>
    <row r="76" spans="1:5" ht="15.75" thickBot="1">
      <c r="A76" s="1451"/>
      <c r="B76" s="587">
        <v>60095</v>
      </c>
      <c r="C76" s="588" t="s">
        <v>213</v>
      </c>
      <c r="D76" s="589"/>
      <c r="E76" s="531">
        <f>SUM(E77,E81)</f>
        <v>154571</v>
      </c>
    </row>
    <row r="77" spans="1:5">
      <c r="A77" s="1451"/>
      <c r="B77" s="1475" t="s">
        <v>588</v>
      </c>
      <c r="C77" s="1476"/>
      <c r="D77" s="590"/>
      <c r="E77" s="591">
        <f>SUM(E78:E80)</f>
        <v>154571</v>
      </c>
    </row>
    <row r="78" spans="1:5" ht="38.25">
      <c r="A78" s="1451"/>
      <c r="B78" s="1477"/>
      <c r="C78" s="592" t="s">
        <v>627</v>
      </c>
      <c r="D78" s="593" t="s">
        <v>603</v>
      </c>
      <c r="E78" s="495">
        <v>2150</v>
      </c>
    </row>
    <row r="79" spans="1:5" ht="38.25">
      <c r="A79" s="1451"/>
      <c r="B79" s="1478"/>
      <c r="C79" s="594" t="s">
        <v>593</v>
      </c>
      <c r="D79" s="595">
        <v>2210</v>
      </c>
      <c r="E79" s="495">
        <v>149000</v>
      </c>
    </row>
    <row r="80" spans="1:5" ht="38.25">
      <c r="A80" s="1451"/>
      <c r="B80" s="1478"/>
      <c r="C80" s="596" t="s">
        <v>594</v>
      </c>
      <c r="D80" s="597">
        <v>2360</v>
      </c>
      <c r="E80" s="495">
        <v>3421</v>
      </c>
    </row>
    <row r="81" spans="1:5" ht="15.75" thickBot="1">
      <c r="A81" s="1466"/>
      <c r="B81" s="1440" t="s">
        <v>592</v>
      </c>
      <c r="C81" s="1471"/>
      <c r="D81" s="598"/>
      <c r="E81" s="498">
        <v>0</v>
      </c>
    </row>
    <row r="82" spans="1:5" ht="15.75" thickBot="1">
      <c r="A82" s="599">
        <v>630</v>
      </c>
      <c r="B82" s="600"/>
      <c r="C82" s="601" t="s">
        <v>223</v>
      </c>
      <c r="D82" s="602"/>
      <c r="E82" s="487">
        <f>E83</f>
        <v>34000</v>
      </c>
    </row>
    <row r="83" spans="1:5" ht="15.75" thickBot="1">
      <c r="A83" s="1465"/>
      <c r="B83" s="587">
        <v>63095</v>
      </c>
      <c r="C83" s="588" t="s">
        <v>213</v>
      </c>
      <c r="D83" s="589"/>
      <c r="E83" s="531">
        <f>E84+E86</f>
        <v>34000</v>
      </c>
    </row>
    <row r="84" spans="1:5">
      <c r="A84" s="1451"/>
      <c r="B84" s="1452" t="s">
        <v>588</v>
      </c>
      <c r="C84" s="1481"/>
      <c r="D84" s="603"/>
      <c r="E84" s="591">
        <f t="shared" ref="E84" si="6">E85</f>
        <v>34000</v>
      </c>
    </row>
    <row r="85" spans="1:5" ht="41.25" customHeight="1">
      <c r="A85" s="1451"/>
      <c r="B85" s="604"/>
      <c r="C85" s="594" t="s">
        <v>593</v>
      </c>
      <c r="D85" s="595">
        <v>2210</v>
      </c>
      <c r="E85" s="495">
        <v>34000</v>
      </c>
    </row>
    <row r="86" spans="1:5" ht="15.75" thickBot="1">
      <c r="A86" s="1466"/>
      <c r="B86" s="1469" t="s">
        <v>592</v>
      </c>
      <c r="C86" s="1439"/>
      <c r="D86" s="605"/>
      <c r="E86" s="510">
        <v>0</v>
      </c>
    </row>
    <row r="87" spans="1:5" ht="15.75" thickBot="1">
      <c r="A87" s="599">
        <v>700</v>
      </c>
      <c r="B87" s="600"/>
      <c r="C87" s="601" t="s">
        <v>628</v>
      </c>
      <c r="D87" s="602"/>
      <c r="E87" s="487">
        <f t="shared" ref="E87" si="7">SUM(E88)</f>
        <v>10904200</v>
      </c>
    </row>
    <row r="88" spans="1:5" ht="15.75" thickBot="1">
      <c r="A88" s="1482"/>
      <c r="B88" s="560">
        <v>70005</v>
      </c>
      <c r="C88" s="514" t="s">
        <v>629</v>
      </c>
      <c r="D88" s="501"/>
      <c r="E88" s="531">
        <f>SUM(E89,E93)</f>
        <v>10904200</v>
      </c>
    </row>
    <row r="89" spans="1:5">
      <c r="A89" s="1483"/>
      <c r="B89" s="1469" t="s">
        <v>588</v>
      </c>
      <c r="C89" s="1470"/>
      <c r="D89" s="584"/>
      <c r="E89" s="606">
        <f>SUM(E90:E92)</f>
        <v>327000</v>
      </c>
    </row>
    <row r="90" spans="1:5" ht="21" customHeight="1">
      <c r="A90" s="1483"/>
      <c r="B90" s="1484"/>
      <c r="C90" s="504" t="s">
        <v>630</v>
      </c>
      <c r="D90" s="577" t="s">
        <v>631</v>
      </c>
      <c r="E90" s="534">
        <v>300000</v>
      </c>
    </row>
    <row r="91" spans="1:5" ht="19.5" customHeight="1">
      <c r="A91" s="1483"/>
      <c r="B91" s="1483"/>
      <c r="C91" s="607" t="s">
        <v>632</v>
      </c>
      <c r="D91" s="527" t="s">
        <v>633</v>
      </c>
      <c r="E91" s="495">
        <v>21000</v>
      </c>
    </row>
    <row r="92" spans="1:5" ht="21" customHeight="1">
      <c r="A92" s="1483"/>
      <c r="B92" s="1483"/>
      <c r="C92" s="504" t="s">
        <v>634</v>
      </c>
      <c r="D92" s="577" t="s">
        <v>610</v>
      </c>
      <c r="E92" s="495">
        <v>6000</v>
      </c>
    </row>
    <row r="93" spans="1:5">
      <c r="A93" s="1483"/>
      <c r="B93" s="1485" t="s">
        <v>595</v>
      </c>
      <c r="C93" s="1439"/>
      <c r="D93" s="584"/>
      <c r="E93" s="510">
        <f>SUM(E94:E95)</f>
        <v>10577200</v>
      </c>
    </row>
    <row r="94" spans="1:5" s="609" customFormat="1" ht="26.25" customHeight="1">
      <c r="A94" s="1483"/>
      <c r="B94" s="1486"/>
      <c r="C94" s="518" t="s">
        <v>635</v>
      </c>
      <c r="D94" s="608" t="s">
        <v>636</v>
      </c>
      <c r="E94" s="495">
        <v>1700</v>
      </c>
    </row>
    <row r="95" spans="1:5" ht="124.5" customHeight="1" thickBot="1">
      <c r="A95" s="1483"/>
      <c r="B95" s="1454"/>
      <c r="C95" s="610" t="s">
        <v>637</v>
      </c>
      <c r="D95" s="611" t="s">
        <v>638</v>
      </c>
      <c r="E95" s="534">
        <v>10575500</v>
      </c>
    </row>
    <row r="96" spans="1:5" ht="15.75" thickBot="1">
      <c r="A96" s="599">
        <v>710</v>
      </c>
      <c r="B96" s="612"/>
      <c r="C96" s="601" t="s">
        <v>226</v>
      </c>
      <c r="D96" s="613"/>
      <c r="E96" s="487">
        <f>SUM(E97,E102,E106,E112)</f>
        <v>624867</v>
      </c>
    </row>
    <row r="97" spans="1:5" ht="15.75" thickBot="1">
      <c r="A97" s="1465"/>
      <c r="B97" s="581">
        <v>71003</v>
      </c>
      <c r="C97" s="514" t="s">
        <v>639</v>
      </c>
      <c r="D97" s="501"/>
      <c r="E97" s="491">
        <f>SUM(E98,E101)</f>
        <v>40000</v>
      </c>
    </row>
    <row r="98" spans="1:5">
      <c r="A98" s="1451"/>
      <c r="B98" s="1489" t="s">
        <v>588</v>
      </c>
      <c r="C98" s="1470"/>
      <c r="D98" s="584"/>
      <c r="E98" s="493">
        <f>SUM(E99:E100)</f>
        <v>40000</v>
      </c>
    </row>
    <row r="99" spans="1:5" ht="17.25" customHeight="1">
      <c r="A99" s="1451"/>
      <c r="B99" s="1490"/>
      <c r="C99" s="1473" t="s">
        <v>640</v>
      </c>
      <c r="D99" s="527" t="s">
        <v>610</v>
      </c>
      <c r="E99" s="495">
        <v>8400</v>
      </c>
    </row>
    <row r="100" spans="1:5" ht="15" customHeight="1">
      <c r="A100" s="1451"/>
      <c r="B100" s="1491"/>
      <c r="C100" s="1492"/>
      <c r="D100" s="614" t="s">
        <v>590</v>
      </c>
      <c r="E100" s="495">
        <v>31600</v>
      </c>
    </row>
    <row r="101" spans="1:5" ht="15.75" thickBot="1">
      <c r="A101" s="1451"/>
      <c r="B101" s="1440" t="s">
        <v>592</v>
      </c>
      <c r="C101" s="1441"/>
      <c r="D101" s="536"/>
      <c r="E101" s="615">
        <v>0</v>
      </c>
    </row>
    <row r="102" spans="1:5" ht="15.75" thickBot="1">
      <c r="A102" s="1451"/>
      <c r="B102" s="560">
        <v>71005</v>
      </c>
      <c r="C102" s="514" t="s">
        <v>269</v>
      </c>
      <c r="D102" s="501"/>
      <c r="E102" s="491">
        <f t="shared" ref="E102" si="8">SUM(E105,E103)</f>
        <v>737</v>
      </c>
    </row>
    <row r="103" spans="1:5">
      <c r="A103" s="1451"/>
      <c r="B103" s="1469" t="s">
        <v>588</v>
      </c>
      <c r="C103" s="1470"/>
      <c r="D103" s="584"/>
      <c r="E103" s="493">
        <f t="shared" ref="E103" si="9">SUM(E104)</f>
        <v>737</v>
      </c>
    </row>
    <row r="104" spans="1:5" ht="38.25">
      <c r="A104" s="1451"/>
      <c r="B104" s="616"/>
      <c r="C104" s="526" t="s">
        <v>594</v>
      </c>
      <c r="D104" s="617">
        <v>2360</v>
      </c>
      <c r="E104" s="495">
        <v>737</v>
      </c>
    </row>
    <row r="105" spans="1:5" ht="15.75" thickBot="1">
      <c r="A105" s="1451"/>
      <c r="B105" s="1440" t="s">
        <v>592</v>
      </c>
      <c r="C105" s="1441"/>
      <c r="D105" s="536"/>
      <c r="E105" s="498">
        <v>0</v>
      </c>
    </row>
    <row r="106" spans="1:5" ht="15.75" thickBot="1">
      <c r="A106" s="1451"/>
      <c r="B106" s="618">
        <v>71012</v>
      </c>
      <c r="C106" s="514" t="s">
        <v>228</v>
      </c>
      <c r="D106" s="501"/>
      <c r="E106" s="491">
        <f t="shared" ref="E106" si="10">SUM(E107,E111)</f>
        <v>484130</v>
      </c>
    </row>
    <row r="107" spans="1:5">
      <c r="A107" s="1451"/>
      <c r="B107" s="1469" t="s">
        <v>588</v>
      </c>
      <c r="C107" s="1470"/>
      <c r="D107" s="584"/>
      <c r="E107" s="493">
        <f>SUM(E108:E110)</f>
        <v>484130</v>
      </c>
    </row>
    <row r="108" spans="1:5" ht="15.75" customHeight="1">
      <c r="A108" s="1451"/>
      <c r="B108" s="1493"/>
      <c r="C108" s="1496" t="s">
        <v>641</v>
      </c>
      <c r="D108" s="527" t="s">
        <v>603</v>
      </c>
      <c r="E108" s="495">
        <v>9000</v>
      </c>
    </row>
    <row r="109" spans="1:5" ht="17.25" customHeight="1">
      <c r="A109" s="1451"/>
      <c r="B109" s="1494"/>
      <c r="C109" s="1497"/>
      <c r="D109" s="527" t="s">
        <v>591</v>
      </c>
      <c r="E109" s="495">
        <v>130</v>
      </c>
    </row>
    <row r="110" spans="1:5" ht="42.75" customHeight="1">
      <c r="A110" s="1451"/>
      <c r="B110" s="1495"/>
      <c r="C110" s="526" t="s">
        <v>593</v>
      </c>
      <c r="D110" s="527" t="s">
        <v>642</v>
      </c>
      <c r="E110" s="495">
        <v>475000</v>
      </c>
    </row>
    <row r="111" spans="1:5" ht="16.5" customHeight="1" thickBot="1">
      <c r="A111" s="1451"/>
      <c r="B111" s="1487" t="s">
        <v>592</v>
      </c>
      <c r="C111" s="1488"/>
      <c r="D111" s="619"/>
      <c r="E111" s="556">
        <v>0</v>
      </c>
    </row>
    <row r="112" spans="1:5" ht="15.75" thickBot="1">
      <c r="A112" s="1451"/>
      <c r="B112" s="581">
        <v>71095</v>
      </c>
      <c r="C112" s="489" t="s">
        <v>213</v>
      </c>
      <c r="D112" s="490"/>
      <c r="E112" s="531">
        <f t="shared" ref="E112" si="11">SUM(E113,E115)</f>
        <v>100000</v>
      </c>
    </row>
    <row r="113" spans="1:5">
      <c r="A113" s="1451"/>
      <c r="B113" s="1489" t="s">
        <v>588</v>
      </c>
      <c r="C113" s="1470"/>
      <c r="D113" s="584"/>
      <c r="E113" s="493">
        <f t="shared" ref="E113" si="12">SUM(E114)</f>
        <v>100000</v>
      </c>
    </row>
    <row r="114" spans="1:5" ht="38.25">
      <c r="A114" s="1451"/>
      <c r="B114" s="620"/>
      <c r="C114" s="610" t="s">
        <v>593</v>
      </c>
      <c r="D114" s="555">
        <v>2210</v>
      </c>
      <c r="E114" s="495">
        <v>100000</v>
      </c>
    </row>
    <row r="115" spans="1:5" ht="15.75" thickBot="1">
      <c r="A115" s="1451"/>
      <c r="B115" s="1438" t="s">
        <v>592</v>
      </c>
      <c r="C115" s="1439"/>
      <c r="D115" s="621"/>
      <c r="E115" s="546">
        <v>0</v>
      </c>
    </row>
    <row r="116" spans="1:5" s="625" customFormat="1" ht="17.25" customHeight="1" thickBot="1">
      <c r="A116" s="557">
        <v>720</v>
      </c>
      <c r="B116" s="622"/>
      <c r="C116" s="623" t="s">
        <v>274</v>
      </c>
      <c r="D116" s="624"/>
      <c r="E116" s="550">
        <f t="shared" ref="E116" si="13">SUM(E117)</f>
        <v>5000000</v>
      </c>
    </row>
    <row r="117" spans="1:5" ht="15.75" thickBot="1">
      <c r="A117" s="1465"/>
      <c r="B117" s="626">
        <v>72095</v>
      </c>
      <c r="C117" s="514" t="s">
        <v>213</v>
      </c>
      <c r="D117" s="501"/>
      <c r="E117" s="491">
        <f>SUM(E118,E120)</f>
        <v>5000000</v>
      </c>
    </row>
    <row r="118" spans="1:5">
      <c r="A118" s="1451"/>
      <c r="B118" s="1452" t="s">
        <v>588</v>
      </c>
      <c r="C118" s="1467"/>
      <c r="D118" s="502"/>
      <c r="E118" s="503">
        <f>SUM(E119:E119)</f>
        <v>5000000</v>
      </c>
    </row>
    <row r="119" spans="1:5" ht="42" customHeight="1">
      <c r="A119" s="1451"/>
      <c r="B119" s="576"/>
      <c r="C119" s="627" t="s">
        <v>1047</v>
      </c>
      <c r="D119" s="628" t="s">
        <v>591</v>
      </c>
      <c r="E119" s="564">
        <v>5000000</v>
      </c>
    </row>
    <row r="120" spans="1:5" ht="15.75" thickBot="1">
      <c r="A120" s="1451"/>
      <c r="B120" s="1438" t="s">
        <v>592</v>
      </c>
      <c r="C120" s="1439"/>
      <c r="D120" s="629"/>
      <c r="E120" s="510">
        <v>0</v>
      </c>
    </row>
    <row r="121" spans="1:5" ht="15.75" thickBot="1">
      <c r="A121" s="599">
        <v>730</v>
      </c>
      <c r="B121" s="630"/>
      <c r="C121" s="631" t="s">
        <v>643</v>
      </c>
      <c r="D121" s="613"/>
      <c r="E121" s="632">
        <f t="shared" ref="E121" si="14">SUM(E122)</f>
        <v>184440</v>
      </c>
    </row>
    <row r="122" spans="1:5" ht="15.75" thickBot="1">
      <c r="A122" s="1500"/>
      <c r="B122" s="560">
        <v>73095</v>
      </c>
      <c r="C122" s="633" t="s">
        <v>213</v>
      </c>
      <c r="D122" s="501"/>
      <c r="E122" s="491">
        <f t="shared" ref="E122" si="15">SUM(E123,E125)</f>
        <v>184440</v>
      </c>
    </row>
    <row r="123" spans="1:5">
      <c r="A123" s="1500"/>
      <c r="B123" s="1469" t="s">
        <v>588</v>
      </c>
      <c r="C123" s="1470"/>
      <c r="D123" s="584"/>
      <c r="E123" s="493">
        <f t="shared" ref="E123" si="16">SUM(E124)</f>
        <v>184440</v>
      </c>
    </row>
    <row r="124" spans="1:5" ht="51" customHeight="1">
      <c r="A124" s="1500"/>
      <c r="B124" s="634"/>
      <c r="C124" s="635" t="s">
        <v>644</v>
      </c>
      <c r="D124" s="636">
        <v>2058</v>
      </c>
      <c r="E124" s="495">
        <v>184440</v>
      </c>
    </row>
    <row r="125" spans="1:5" ht="15.75" thickBot="1">
      <c r="A125" s="1500"/>
      <c r="B125" s="1463" t="s">
        <v>592</v>
      </c>
      <c r="C125" s="1441"/>
      <c r="D125" s="536"/>
      <c r="E125" s="556">
        <v>0</v>
      </c>
    </row>
    <row r="126" spans="1:5" ht="15.75" thickBot="1">
      <c r="A126" s="599">
        <v>750</v>
      </c>
      <c r="B126" s="630"/>
      <c r="C126" s="631" t="s">
        <v>18</v>
      </c>
      <c r="D126" s="613"/>
      <c r="E126" s="487">
        <f>SUM(E127,E132,E142,E147,E156,E160)</f>
        <v>5314570</v>
      </c>
    </row>
    <row r="127" spans="1:5" ht="15.75" thickBot="1">
      <c r="A127" s="1500"/>
      <c r="B127" s="560">
        <v>75011</v>
      </c>
      <c r="C127" s="633" t="s">
        <v>231</v>
      </c>
      <c r="D127" s="501"/>
      <c r="E127" s="491">
        <f>SUM(E128,E131)</f>
        <v>145290</v>
      </c>
    </row>
    <row r="128" spans="1:5">
      <c r="A128" s="1500"/>
      <c r="B128" s="1469" t="s">
        <v>588</v>
      </c>
      <c r="C128" s="1470"/>
      <c r="D128" s="584"/>
      <c r="E128" s="493">
        <f>SUM(E129:E130)</f>
        <v>145290</v>
      </c>
    </row>
    <row r="129" spans="1:5" ht="38.25">
      <c r="A129" s="1500"/>
      <c r="B129" s="1501"/>
      <c r="C129" s="635" t="s">
        <v>645</v>
      </c>
      <c r="D129" s="636">
        <v>2210</v>
      </c>
      <c r="E129" s="495">
        <v>145000</v>
      </c>
    </row>
    <row r="130" spans="1:5" ht="38.25">
      <c r="A130" s="1500"/>
      <c r="B130" s="1502"/>
      <c r="C130" s="610" t="s">
        <v>594</v>
      </c>
      <c r="D130" s="555">
        <v>2360</v>
      </c>
      <c r="E130" s="534">
        <v>290</v>
      </c>
    </row>
    <row r="131" spans="1:5" ht="15.75" thickBot="1">
      <c r="A131" s="1500"/>
      <c r="B131" s="1440" t="s">
        <v>592</v>
      </c>
      <c r="C131" s="1441"/>
      <c r="D131" s="536"/>
      <c r="E131" s="498">
        <v>0</v>
      </c>
    </row>
    <row r="132" spans="1:5" ht="15.75" thickBot="1">
      <c r="A132" s="1451"/>
      <c r="B132" s="560">
        <v>75018</v>
      </c>
      <c r="C132" s="514" t="s">
        <v>646</v>
      </c>
      <c r="D132" s="501"/>
      <c r="E132" s="491">
        <f>SUM(E133,E141)</f>
        <v>320770</v>
      </c>
    </row>
    <row r="133" spans="1:5">
      <c r="A133" s="1451"/>
      <c r="B133" s="1469" t="s">
        <v>588</v>
      </c>
      <c r="C133" s="1445"/>
      <c r="D133" s="515"/>
      <c r="E133" s="493">
        <f>SUM(E134:E140)</f>
        <v>320770</v>
      </c>
    </row>
    <row r="134" spans="1:5" ht="21" customHeight="1">
      <c r="A134" s="1451"/>
      <c r="B134" s="1454"/>
      <c r="C134" s="1498" t="s">
        <v>647</v>
      </c>
      <c r="D134" s="580" t="s">
        <v>648</v>
      </c>
      <c r="E134" s="637">
        <v>6000</v>
      </c>
    </row>
    <row r="135" spans="1:5" ht="22.5" customHeight="1">
      <c r="A135" s="1451"/>
      <c r="B135" s="1454"/>
      <c r="C135" s="1499"/>
      <c r="D135" s="527" t="s">
        <v>603</v>
      </c>
      <c r="E135" s="495">
        <v>13500</v>
      </c>
    </row>
    <row r="136" spans="1:5" ht="21.75" customHeight="1">
      <c r="A136" s="1451"/>
      <c r="B136" s="1454"/>
      <c r="C136" s="1499"/>
      <c r="D136" s="527" t="s">
        <v>610</v>
      </c>
      <c r="E136" s="513">
        <f>95000+77400</f>
        <v>172400</v>
      </c>
    </row>
    <row r="137" spans="1:5" ht="20.25" customHeight="1">
      <c r="A137" s="1451"/>
      <c r="B137" s="1454"/>
      <c r="C137" s="1499"/>
      <c r="D137" s="527" t="s">
        <v>590</v>
      </c>
      <c r="E137" s="495">
        <f>25000+9370</f>
        <v>34370</v>
      </c>
    </row>
    <row r="138" spans="1:5" ht="18" customHeight="1">
      <c r="A138" s="1451"/>
      <c r="B138" s="1454"/>
      <c r="C138" s="1499"/>
      <c r="D138" s="527" t="s">
        <v>649</v>
      </c>
      <c r="E138" s="495">
        <v>15000</v>
      </c>
    </row>
    <row r="139" spans="1:5" ht="22.5" customHeight="1">
      <c r="A139" s="1451"/>
      <c r="B139" s="1454"/>
      <c r="C139" s="1499"/>
      <c r="D139" s="527" t="s">
        <v>650</v>
      </c>
      <c r="E139" s="495">
        <v>5500</v>
      </c>
    </row>
    <row r="140" spans="1:5" ht="27" customHeight="1">
      <c r="A140" s="1451"/>
      <c r="B140" s="1455"/>
      <c r="C140" s="504" t="s">
        <v>651</v>
      </c>
      <c r="D140" s="527" t="s">
        <v>623</v>
      </c>
      <c r="E140" s="495">
        <v>74000</v>
      </c>
    </row>
    <row r="141" spans="1:5" ht="15.75" thickBot="1">
      <c r="A141" s="1451"/>
      <c r="B141" s="1440" t="s">
        <v>592</v>
      </c>
      <c r="C141" s="1441"/>
      <c r="D141" s="536"/>
      <c r="E141" s="498">
        <v>0</v>
      </c>
    </row>
    <row r="142" spans="1:5" ht="15.75" thickBot="1">
      <c r="A142" s="1451"/>
      <c r="B142" s="560">
        <v>75046</v>
      </c>
      <c r="C142" s="514" t="s">
        <v>233</v>
      </c>
      <c r="D142" s="501"/>
      <c r="E142" s="491">
        <f t="shared" ref="E142" si="17">SUM(E143,E146)</f>
        <v>21053</v>
      </c>
    </row>
    <row r="143" spans="1:5">
      <c r="A143" s="1451"/>
      <c r="B143" s="1469" t="s">
        <v>588</v>
      </c>
      <c r="C143" s="1470"/>
      <c r="D143" s="584"/>
      <c r="E143" s="493">
        <f>SUM(E144:E145)</f>
        <v>21053</v>
      </c>
    </row>
    <row r="144" spans="1:5" ht="38.25">
      <c r="A144" s="1451"/>
      <c r="B144" s="1493"/>
      <c r="C144" s="635" t="s">
        <v>593</v>
      </c>
      <c r="D144" s="636">
        <v>2210</v>
      </c>
      <c r="E144" s="495">
        <v>20000</v>
      </c>
    </row>
    <row r="145" spans="1:5" ht="38.25">
      <c r="A145" s="1451"/>
      <c r="B145" s="1494"/>
      <c r="C145" s="610" t="s">
        <v>594</v>
      </c>
      <c r="D145" s="555">
        <v>2360</v>
      </c>
      <c r="E145" s="495">
        <v>1053</v>
      </c>
    </row>
    <row r="146" spans="1:5" ht="15.75" thickBot="1">
      <c r="A146" s="1451"/>
      <c r="B146" s="1440" t="s">
        <v>592</v>
      </c>
      <c r="C146" s="1441"/>
      <c r="D146" s="536"/>
      <c r="E146" s="498">
        <v>0</v>
      </c>
    </row>
    <row r="147" spans="1:5" ht="15.75" thickBot="1">
      <c r="A147" s="533"/>
      <c r="B147" s="638">
        <v>75075</v>
      </c>
      <c r="C147" s="639" t="s">
        <v>6</v>
      </c>
      <c r="D147" s="640"/>
      <c r="E147" s="491">
        <f>SUM(E155,E148)</f>
        <v>824553</v>
      </c>
    </row>
    <row r="148" spans="1:5">
      <c r="A148" s="533"/>
      <c r="B148" s="1452" t="s">
        <v>588</v>
      </c>
      <c r="C148" s="1453"/>
      <c r="D148" s="502"/>
      <c r="E148" s="493">
        <f>SUM(E149:E154)</f>
        <v>824553</v>
      </c>
    </row>
    <row r="149" spans="1:5" s="609" customFormat="1" ht="55.5" customHeight="1">
      <c r="A149" s="641"/>
      <c r="B149" s="1454"/>
      <c r="C149" s="642" t="s">
        <v>652</v>
      </c>
      <c r="D149" s="1506" t="s">
        <v>436</v>
      </c>
      <c r="E149" s="637">
        <v>410695</v>
      </c>
    </row>
    <row r="150" spans="1:5" s="609" customFormat="1" ht="53.25" customHeight="1">
      <c r="A150" s="641"/>
      <c r="B150" s="1454"/>
      <c r="C150" s="642" t="s">
        <v>653</v>
      </c>
      <c r="D150" s="1507"/>
      <c r="E150" s="637">
        <v>233971</v>
      </c>
    </row>
    <row r="151" spans="1:5" s="609" customFormat="1" ht="56.25" customHeight="1">
      <c r="A151" s="641"/>
      <c r="B151" s="1454"/>
      <c r="C151" s="642" t="s">
        <v>654</v>
      </c>
      <c r="D151" s="1507"/>
      <c r="E151" s="637">
        <v>116837</v>
      </c>
    </row>
    <row r="152" spans="1:5" s="609" customFormat="1" ht="57" customHeight="1">
      <c r="A152" s="641"/>
      <c r="B152" s="1454"/>
      <c r="C152" s="642" t="s">
        <v>655</v>
      </c>
      <c r="D152" s="1507"/>
      <c r="E152" s="637">
        <v>49328</v>
      </c>
    </row>
    <row r="153" spans="1:5" s="609" customFormat="1" ht="58.5" customHeight="1">
      <c r="A153" s="641"/>
      <c r="B153" s="1454"/>
      <c r="C153" s="642" t="s">
        <v>1045</v>
      </c>
      <c r="D153" s="1506" t="s">
        <v>437</v>
      </c>
      <c r="E153" s="637">
        <v>10820</v>
      </c>
    </row>
    <row r="154" spans="1:5" s="609" customFormat="1" ht="58.5" customHeight="1">
      <c r="A154" s="641"/>
      <c r="B154" s="1454"/>
      <c r="C154" s="642" t="s">
        <v>1046</v>
      </c>
      <c r="D154" s="1508"/>
      <c r="E154" s="637">
        <v>2902</v>
      </c>
    </row>
    <row r="155" spans="1:5" ht="15.75" thickBot="1">
      <c r="A155" s="533"/>
      <c r="B155" s="1509" t="s">
        <v>592</v>
      </c>
      <c r="C155" s="1510"/>
      <c r="D155" s="536"/>
      <c r="E155" s="498">
        <v>0</v>
      </c>
    </row>
    <row r="156" spans="1:5" ht="15.75" thickBot="1">
      <c r="A156" s="533"/>
      <c r="B156" s="643">
        <v>75084</v>
      </c>
      <c r="C156" s="644" t="s">
        <v>235</v>
      </c>
      <c r="D156" s="645"/>
      <c r="E156" s="491">
        <f t="shared" ref="E156" si="18">SUM(E157,E159)</f>
        <v>200000</v>
      </c>
    </row>
    <row r="157" spans="1:5" ht="15" customHeight="1">
      <c r="A157" s="533"/>
      <c r="B157" s="1452" t="s">
        <v>588</v>
      </c>
      <c r="C157" s="1481"/>
      <c r="D157" s="502"/>
      <c r="E157" s="503">
        <f t="shared" ref="E157" si="19">SUM(E158)</f>
        <v>200000</v>
      </c>
    </row>
    <row r="158" spans="1:5" ht="42.75" customHeight="1">
      <c r="A158" s="533"/>
      <c r="B158" s="646"/>
      <c r="C158" s="647" t="s">
        <v>593</v>
      </c>
      <c r="D158" s="648">
        <v>2210</v>
      </c>
      <c r="E158" s="495">
        <v>200000</v>
      </c>
    </row>
    <row r="159" spans="1:5" ht="15.75" thickBot="1">
      <c r="A159" s="533"/>
      <c r="B159" s="1509" t="s">
        <v>592</v>
      </c>
      <c r="C159" s="1510"/>
      <c r="D159" s="649"/>
      <c r="E159" s="498">
        <v>0</v>
      </c>
    </row>
    <row r="160" spans="1:5" ht="15.75" thickBot="1">
      <c r="A160" s="1451"/>
      <c r="B160" s="581">
        <v>75095</v>
      </c>
      <c r="C160" s="514" t="s">
        <v>213</v>
      </c>
      <c r="D160" s="501"/>
      <c r="E160" s="531">
        <f>SUM(E161,E169)</f>
        <v>3802904</v>
      </c>
    </row>
    <row r="161" spans="1:5">
      <c r="A161" s="1451"/>
      <c r="B161" s="1452" t="s">
        <v>588</v>
      </c>
      <c r="C161" s="1467"/>
      <c r="D161" s="561"/>
      <c r="E161" s="503">
        <f>SUM(E162:E168)</f>
        <v>3794904</v>
      </c>
    </row>
    <row r="162" spans="1:5" ht="43.5" customHeight="1">
      <c r="A162" s="1451"/>
      <c r="B162" s="1486"/>
      <c r="C162" s="650" t="s">
        <v>656</v>
      </c>
      <c r="D162" s="1503">
        <v>2008</v>
      </c>
      <c r="E162" s="495">
        <v>1785000</v>
      </c>
    </row>
    <row r="163" spans="1:5" ht="53.25" customHeight="1">
      <c r="A163" s="1451"/>
      <c r="B163" s="1454"/>
      <c r="C163" s="651" t="s">
        <v>657</v>
      </c>
      <c r="D163" s="1504"/>
      <c r="E163" s="495">
        <v>472600</v>
      </c>
    </row>
    <row r="164" spans="1:5" ht="45" customHeight="1">
      <c r="A164" s="1451"/>
      <c r="B164" s="1454"/>
      <c r="C164" s="652" t="s">
        <v>658</v>
      </c>
      <c r="D164" s="1503">
        <v>2009</v>
      </c>
      <c r="E164" s="564">
        <v>315000</v>
      </c>
    </row>
    <row r="165" spans="1:5" ht="51" customHeight="1">
      <c r="A165" s="1451"/>
      <c r="B165" s="1454"/>
      <c r="C165" s="518" t="s">
        <v>659</v>
      </c>
      <c r="D165" s="1505"/>
      <c r="E165" s="513">
        <v>83400</v>
      </c>
    </row>
    <row r="166" spans="1:5" ht="57.75" customHeight="1">
      <c r="A166" s="1451"/>
      <c r="B166" s="1454"/>
      <c r="C166" s="653" t="s">
        <v>660</v>
      </c>
      <c r="D166" s="1503">
        <v>2058</v>
      </c>
      <c r="E166" s="495">
        <v>95638</v>
      </c>
    </row>
    <row r="167" spans="1:5" ht="66" customHeight="1">
      <c r="A167" s="1451"/>
      <c r="B167" s="1454"/>
      <c r="C167" s="654" t="s">
        <v>661</v>
      </c>
      <c r="D167" s="1505"/>
      <c r="E167" s="495">
        <v>1033266</v>
      </c>
    </row>
    <row r="168" spans="1:5" ht="58.5" customHeight="1">
      <c r="A168" s="1451"/>
      <c r="B168" s="1454"/>
      <c r="C168" s="655" t="s">
        <v>662</v>
      </c>
      <c r="D168" s="656">
        <v>2059</v>
      </c>
      <c r="E168" s="495">
        <v>10000</v>
      </c>
    </row>
    <row r="169" spans="1:5">
      <c r="A169" s="1451"/>
      <c r="B169" s="1438" t="s">
        <v>595</v>
      </c>
      <c r="C169" s="1456"/>
      <c r="D169" s="605"/>
      <c r="E169" s="510">
        <f>SUM(E170:E170)</f>
        <v>8000</v>
      </c>
    </row>
    <row r="170" spans="1:5" ht="65.25" customHeight="1" thickBot="1">
      <c r="A170" s="641"/>
      <c r="B170" s="657"/>
      <c r="C170" s="658" t="s">
        <v>661</v>
      </c>
      <c r="D170" s="659">
        <v>6258</v>
      </c>
      <c r="E170" s="513">
        <v>8000</v>
      </c>
    </row>
    <row r="171" spans="1:5" ht="43.5" customHeight="1" thickBot="1">
      <c r="A171" s="599">
        <v>756</v>
      </c>
      <c r="B171" s="612"/>
      <c r="C171" s="601" t="s">
        <v>663</v>
      </c>
      <c r="D171" s="613"/>
      <c r="E171" s="550">
        <f>SUM(E172,E179)</f>
        <v>216795920</v>
      </c>
    </row>
    <row r="172" spans="1:5" ht="26.25" thickBot="1">
      <c r="A172" s="1465"/>
      <c r="B172" s="560">
        <v>75618</v>
      </c>
      <c r="C172" s="514" t="s">
        <v>664</v>
      </c>
      <c r="D172" s="501"/>
      <c r="E172" s="491">
        <f>SUM(E173,E178)</f>
        <v>5054667</v>
      </c>
    </row>
    <row r="173" spans="1:5">
      <c r="A173" s="1451"/>
      <c r="B173" s="1452" t="s">
        <v>588</v>
      </c>
      <c r="C173" s="1460"/>
      <c r="D173" s="660"/>
      <c r="E173" s="493">
        <f>SUM(E174:E177)</f>
        <v>5054667</v>
      </c>
    </row>
    <row r="174" spans="1:5" ht="25.5">
      <c r="A174" s="1451"/>
      <c r="B174" s="1486"/>
      <c r="C174" s="661" t="s">
        <v>665</v>
      </c>
      <c r="D174" s="662" t="s">
        <v>666</v>
      </c>
      <c r="E174" s="506">
        <v>4559725</v>
      </c>
    </row>
    <row r="175" spans="1:5" ht="15.75" customHeight="1">
      <c r="A175" s="1451"/>
      <c r="B175" s="1454"/>
      <c r="C175" s="635" t="s">
        <v>667</v>
      </c>
      <c r="D175" s="527" t="s">
        <v>668</v>
      </c>
      <c r="E175" s="495">
        <v>440200</v>
      </c>
    </row>
    <row r="176" spans="1:5" ht="41.25" customHeight="1">
      <c r="A176" s="1451"/>
      <c r="B176" s="1454"/>
      <c r="C176" s="610" t="s">
        <v>669</v>
      </c>
      <c r="D176" s="614" t="s">
        <v>670</v>
      </c>
      <c r="E176" s="495">
        <v>29742</v>
      </c>
    </row>
    <row r="177" spans="1:5">
      <c r="A177" s="1451"/>
      <c r="B177" s="1455"/>
      <c r="C177" s="663" t="s">
        <v>671</v>
      </c>
      <c r="D177" s="664" t="s">
        <v>591</v>
      </c>
      <c r="E177" s="495">
        <v>25000</v>
      </c>
    </row>
    <row r="178" spans="1:5" ht="15.75" thickBot="1">
      <c r="A178" s="1451"/>
      <c r="B178" s="1440" t="s">
        <v>592</v>
      </c>
      <c r="C178" s="1441"/>
      <c r="D178" s="536"/>
      <c r="E178" s="556">
        <v>0</v>
      </c>
    </row>
    <row r="179" spans="1:5" ht="26.25" thickBot="1">
      <c r="A179" s="1451"/>
      <c r="B179" s="581">
        <v>75623</v>
      </c>
      <c r="C179" s="514" t="s">
        <v>672</v>
      </c>
      <c r="D179" s="501"/>
      <c r="E179" s="491">
        <f t="shared" ref="E179" si="20">SUM(E180,E183)</f>
        <v>211741253</v>
      </c>
    </row>
    <row r="180" spans="1:5">
      <c r="A180" s="1451"/>
      <c r="B180" s="1489" t="s">
        <v>588</v>
      </c>
      <c r="C180" s="1469"/>
      <c r="D180" s="665"/>
      <c r="E180" s="493">
        <f>SUM(E181:E182)</f>
        <v>211741253</v>
      </c>
    </row>
    <row r="181" spans="1:5" ht="18.75" customHeight="1">
      <c r="A181" s="1451"/>
      <c r="B181" s="1490"/>
      <c r="C181" s="635" t="s">
        <v>673</v>
      </c>
      <c r="D181" s="527" t="s">
        <v>674</v>
      </c>
      <c r="E181" s="495">
        <v>56741253</v>
      </c>
    </row>
    <row r="182" spans="1:5" ht="21.75" customHeight="1">
      <c r="A182" s="1451"/>
      <c r="B182" s="1511"/>
      <c r="C182" s="635" t="s">
        <v>675</v>
      </c>
      <c r="D182" s="527" t="s">
        <v>676</v>
      </c>
      <c r="E182" s="495">
        <f>145544960+4340610-128001+5242431</f>
        <v>155000000</v>
      </c>
    </row>
    <row r="183" spans="1:5" ht="15.75" thickBot="1">
      <c r="A183" s="1466"/>
      <c r="B183" s="1512" t="s">
        <v>592</v>
      </c>
      <c r="C183" s="1513"/>
      <c r="D183" s="536"/>
      <c r="E183" s="615">
        <v>0</v>
      </c>
    </row>
    <row r="184" spans="1:5" ht="15.75" thickBot="1">
      <c r="A184" s="666">
        <v>758</v>
      </c>
      <c r="B184" s="667"/>
      <c r="C184" s="668" t="s">
        <v>677</v>
      </c>
      <c r="D184" s="669"/>
      <c r="E184" s="487">
        <f>SUM(E185,E189,E193,E197,E201,E211)</f>
        <v>927319038</v>
      </c>
    </row>
    <row r="185" spans="1:5" s="609" customFormat="1" ht="26.25" thickBot="1">
      <c r="A185" s="1525"/>
      <c r="B185" s="670">
        <v>75801</v>
      </c>
      <c r="C185" s="671" t="s">
        <v>678</v>
      </c>
      <c r="D185" s="672"/>
      <c r="E185" s="491">
        <f t="shared" ref="E185" si="21">SUM(E186,E188)</f>
        <v>33994835</v>
      </c>
    </row>
    <row r="186" spans="1:5" ht="16.5" customHeight="1">
      <c r="A186" s="1526"/>
      <c r="B186" s="1527" t="s">
        <v>588</v>
      </c>
      <c r="C186" s="1527"/>
      <c r="D186" s="673"/>
      <c r="E186" s="493">
        <f>SUM(E187)</f>
        <v>33994835</v>
      </c>
    </row>
    <row r="187" spans="1:5" ht="24.75" customHeight="1">
      <c r="A187" s="1526"/>
      <c r="B187" s="674"/>
      <c r="C187" s="675" t="s">
        <v>679</v>
      </c>
      <c r="D187" s="676">
        <v>2920</v>
      </c>
      <c r="E187" s="495">
        <v>33994835</v>
      </c>
    </row>
    <row r="188" spans="1:5" ht="15.75" thickBot="1">
      <c r="A188" s="1526"/>
      <c r="B188" s="1528" t="s">
        <v>592</v>
      </c>
      <c r="C188" s="1528"/>
      <c r="D188" s="677"/>
      <c r="E188" s="556">
        <v>0</v>
      </c>
    </row>
    <row r="189" spans="1:5" ht="15.75" thickBot="1">
      <c r="A189" s="1526"/>
      <c r="B189" s="670">
        <v>75804</v>
      </c>
      <c r="C189" s="671" t="s">
        <v>680</v>
      </c>
      <c r="D189" s="672"/>
      <c r="E189" s="531">
        <f t="shared" ref="E189" si="22">SUM(E190,E192)</f>
        <v>141581106</v>
      </c>
    </row>
    <row r="190" spans="1:5">
      <c r="A190" s="1526"/>
      <c r="B190" s="1527" t="s">
        <v>588</v>
      </c>
      <c r="C190" s="1527"/>
      <c r="D190" s="673"/>
      <c r="E190" s="493">
        <f>SUM(E191)</f>
        <v>141581106</v>
      </c>
    </row>
    <row r="191" spans="1:5" ht="25.5" customHeight="1">
      <c r="A191" s="1526"/>
      <c r="B191" s="674"/>
      <c r="C191" s="675" t="s">
        <v>679</v>
      </c>
      <c r="D191" s="676">
        <v>2920</v>
      </c>
      <c r="E191" s="495">
        <v>141581106</v>
      </c>
    </row>
    <row r="192" spans="1:5" ht="17.25" customHeight="1">
      <c r="A192" s="1526"/>
      <c r="B192" s="1529" t="s">
        <v>592</v>
      </c>
      <c r="C192" s="1530"/>
      <c r="D192" s="678"/>
      <c r="E192" s="510">
        <v>0</v>
      </c>
    </row>
    <row r="193" spans="1:5" ht="15.75" thickBot="1">
      <c r="A193" s="1526"/>
      <c r="B193" s="679">
        <v>75814</v>
      </c>
      <c r="C193" s="680" t="s">
        <v>681</v>
      </c>
      <c r="D193" s="681"/>
      <c r="E193" s="523">
        <f t="shared" ref="E193" si="23">SUM(E194,E196)</f>
        <v>2500000</v>
      </c>
    </row>
    <row r="194" spans="1:5">
      <c r="A194" s="1526"/>
      <c r="B194" s="1527" t="s">
        <v>588</v>
      </c>
      <c r="C194" s="1527"/>
      <c r="D194" s="673"/>
      <c r="E194" s="493">
        <f>SUM(E195)</f>
        <v>2500000</v>
      </c>
    </row>
    <row r="195" spans="1:5" ht="28.5" customHeight="1">
      <c r="A195" s="1526"/>
      <c r="B195" s="674"/>
      <c r="C195" s="675" t="s">
        <v>682</v>
      </c>
      <c r="D195" s="682" t="s">
        <v>683</v>
      </c>
      <c r="E195" s="495">
        <v>2500000</v>
      </c>
    </row>
    <row r="196" spans="1:5" ht="15.75" thickBot="1">
      <c r="A196" s="1526"/>
      <c r="B196" s="1528" t="s">
        <v>592</v>
      </c>
      <c r="C196" s="1528"/>
      <c r="D196" s="677"/>
      <c r="E196" s="556">
        <v>0</v>
      </c>
    </row>
    <row r="197" spans="1:5" ht="15.75" thickBot="1">
      <c r="A197" s="1526"/>
      <c r="B197" s="670">
        <v>75833</v>
      </c>
      <c r="C197" s="671" t="s">
        <v>684</v>
      </c>
      <c r="D197" s="672"/>
      <c r="E197" s="491">
        <f t="shared" ref="E197" si="24">SUM(E198,E200)</f>
        <v>55273958</v>
      </c>
    </row>
    <row r="198" spans="1:5">
      <c r="A198" s="1526"/>
      <c r="B198" s="1527" t="s">
        <v>588</v>
      </c>
      <c r="C198" s="1531"/>
      <c r="D198" s="683"/>
      <c r="E198" s="493">
        <f>SUM(E199)</f>
        <v>55273958</v>
      </c>
    </row>
    <row r="199" spans="1:5" ht="25.5" customHeight="1">
      <c r="A199" s="1526"/>
      <c r="B199" s="674"/>
      <c r="C199" s="684" t="s">
        <v>679</v>
      </c>
      <c r="D199" s="682" t="s">
        <v>685</v>
      </c>
      <c r="E199" s="495">
        <v>55273958</v>
      </c>
    </row>
    <row r="200" spans="1:5" ht="15.75" thickBot="1">
      <c r="A200" s="1526"/>
      <c r="B200" s="1528" t="s">
        <v>592</v>
      </c>
      <c r="C200" s="1531"/>
      <c r="D200" s="683"/>
      <c r="E200" s="556">
        <v>0</v>
      </c>
    </row>
    <row r="201" spans="1:5" ht="39" thickBot="1">
      <c r="A201" s="1526"/>
      <c r="B201" s="685">
        <v>75863</v>
      </c>
      <c r="C201" s="671" t="s">
        <v>686</v>
      </c>
      <c r="D201" s="686"/>
      <c r="E201" s="531">
        <f>SUM(E202,E205)</f>
        <v>602772853</v>
      </c>
    </row>
    <row r="202" spans="1:5">
      <c r="A202" s="1526"/>
      <c r="B202" s="1523" t="s">
        <v>588</v>
      </c>
      <c r="C202" s="1523"/>
      <c r="D202" s="687"/>
      <c r="E202" s="606">
        <f>SUM(E203:E204)</f>
        <v>66823949</v>
      </c>
    </row>
    <row r="203" spans="1:5" s="609" customFormat="1" ht="27" customHeight="1">
      <c r="A203" s="1526"/>
      <c r="B203" s="1514"/>
      <c r="C203" s="1516" t="s">
        <v>687</v>
      </c>
      <c r="D203" s="688">
        <v>2007</v>
      </c>
      <c r="E203" s="564">
        <f>91452672-33811764</f>
        <v>57640908</v>
      </c>
    </row>
    <row r="204" spans="1:5" ht="24.75" customHeight="1">
      <c r="A204" s="1526"/>
      <c r="B204" s="1515"/>
      <c r="C204" s="1517"/>
      <c r="D204" s="689">
        <v>2057</v>
      </c>
      <c r="E204" s="495">
        <f>10165789-982748</f>
        <v>9183041</v>
      </c>
    </row>
    <row r="205" spans="1:5">
      <c r="A205" s="1526"/>
      <c r="B205" s="1518" t="s">
        <v>595</v>
      </c>
      <c r="C205" s="1519"/>
      <c r="D205" s="690"/>
      <c r="E205" s="510">
        <f>SUM(E206:E210)</f>
        <v>535948904</v>
      </c>
    </row>
    <row r="206" spans="1:5" s="609" customFormat="1" ht="43.5" customHeight="1">
      <c r="A206" s="1526"/>
      <c r="B206" s="1514"/>
      <c r="C206" s="691" t="s">
        <v>687</v>
      </c>
      <c r="D206" s="689">
        <v>6207</v>
      </c>
      <c r="E206" s="534">
        <f>31191753-12877833</f>
        <v>18313920</v>
      </c>
    </row>
    <row r="207" spans="1:5" ht="42.75" customHeight="1">
      <c r="A207" s="1526"/>
      <c r="B207" s="1515"/>
      <c r="C207" s="691" t="s">
        <v>688</v>
      </c>
      <c r="D207" s="689">
        <v>6209</v>
      </c>
      <c r="E207" s="495">
        <v>22474758</v>
      </c>
    </row>
    <row r="208" spans="1:5" ht="44.25" customHeight="1">
      <c r="A208" s="1526"/>
      <c r="B208" s="1515"/>
      <c r="C208" s="692" t="s">
        <v>687</v>
      </c>
      <c r="D208" s="1521">
        <v>6257</v>
      </c>
      <c r="E208" s="495">
        <f>466703687-9361982</f>
        <v>457341705</v>
      </c>
    </row>
    <row r="209" spans="1:5" ht="56.25" customHeight="1">
      <c r="A209" s="1526"/>
      <c r="B209" s="1515"/>
      <c r="C209" s="461" t="s">
        <v>689</v>
      </c>
      <c r="D209" s="1522"/>
      <c r="E209" s="495">
        <v>9494441</v>
      </c>
    </row>
    <row r="210" spans="1:5" ht="48" customHeight="1" thickBot="1">
      <c r="A210" s="1526"/>
      <c r="B210" s="1520"/>
      <c r="C210" s="462" t="s">
        <v>690</v>
      </c>
      <c r="D210" s="693">
        <v>6259</v>
      </c>
      <c r="E210" s="694">
        <f>26579242+1744838</f>
        <v>28324080</v>
      </c>
    </row>
    <row r="211" spans="1:5" ht="29.25" customHeight="1" thickBot="1">
      <c r="A211" s="1526"/>
      <c r="B211" s="685">
        <v>75864</v>
      </c>
      <c r="C211" s="671" t="s">
        <v>691</v>
      </c>
      <c r="D211" s="686"/>
      <c r="E211" s="531">
        <f t="shared" ref="E211" si="25">SUM(E212,E218)</f>
        <v>91196286</v>
      </c>
    </row>
    <row r="212" spans="1:5">
      <c r="A212" s="1526"/>
      <c r="B212" s="1523" t="s">
        <v>588</v>
      </c>
      <c r="C212" s="1524"/>
      <c r="D212" s="695"/>
      <c r="E212" s="493">
        <f>SUM(E213:E217)</f>
        <v>89402786</v>
      </c>
    </row>
    <row r="213" spans="1:5" s="609" customFormat="1" ht="42.75" customHeight="1">
      <c r="A213" s="1526"/>
      <c r="B213" s="1514"/>
      <c r="C213" s="696" t="s">
        <v>687</v>
      </c>
      <c r="D213" s="697">
        <v>2007</v>
      </c>
      <c r="E213" s="495">
        <v>1530548</v>
      </c>
    </row>
    <row r="214" spans="1:5" s="609" customFormat="1" ht="43.5" customHeight="1">
      <c r="A214" s="1526"/>
      <c r="B214" s="1515"/>
      <c r="C214" s="466" t="s">
        <v>692</v>
      </c>
      <c r="D214" s="689">
        <v>2009</v>
      </c>
      <c r="E214" s="513">
        <v>42043920</v>
      </c>
    </row>
    <row r="215" spans="1:5" s="609" customFormat="1" ht="42.75" customHeight="1">
      <c r="A215" s="1526"/>
      <c r="B215" s="1515"/>
      <c r="C215" s="698" t="s">
        <v>687</v>
      </c>
      <c r="D215" s="688">
        <v>2057</v>
      </c>
      <c r="E215" s="495">
        <v>3589914</v>
      </c>
    </row>
    <row r="216" spans="1:5" ht="42" customHeight="1">
      <c r="A216" s="1526"/>
      <c r="B216" s="1515"/>
      <c r="C216" s="699" t="s">
        <v>693</v>
      </c>
      <c r="D216" s="700">
        <v>2058</v>
      </c>
      <c r="E216" s="513">
        <v>42035324</v>
      </c>
    </row>
    <row r="217" spans="1:5" ht="42" customHeight="1">
      <c r="A217" s="1526"/>
      <c r="B217" s="1515"/>
      <c r="C217" s="699" t="s">
        <v>694</v>
      </c>
      <c r="D217" s="701">
        <v>2059</v>
      </c>
      <c r="E217" s="495">
        <v>203080</v>
      </c>
    </row>
    <row r="218" spans="1:5">
      <c r="A218" s="1526"/>
      <c r="B218" s="1518" t="s">
        <v>595</v>
      </c>
      <c r="C218" s="1519"/>
      <c r="D218" s="702"/>
      <c r="E218" s="556">
        <f>SUM(E219:E220)</f>
        <v>1793500</v>
      </c>
    </row>
    <row r="219" spans="1:5" s="609" customFormat="1" ht="40.5" customHeight="1">
      <c r="A219" s="1526"/>
      <c r="B219" s="703"/>
      <c r="C219" s="691" t="s">
        <v>692</v>
      </c>
      <c r="D219" s="688">
        <v>6209</v>
      </c>
      <c r="E219" s="495">
        <v>1122000</v>
      </c>
    </row>
    <row r="220" spans="1:5" s="609" customFormat="1" ht="42" customHeight="1" thickBot="1">
      <c r="A220" s="1526"/>
      <c r="B220" s="704"/>
      <c r="C220" s="705" t="s">
        <v>695</v>
      </c>
      <c r="D220" s="697">
        <v>6258</v>
      </c>
      <c r="E220" s="495">
        <v>671500</v>
      </c>
    </row>
    <row r="221" spans="1:5" s="708" customFormat="1" ht="16.5" customHeight="1" thickBot="1">
      <c r="A221" s="666">
        <v>801</v>
      </c>
      <c r="B221" s="706"/>
      <c r="C221" s="668" t="s">
        <v>696</v>
      </c>
      <c r="D221" s="707"/>
      <c r="E221" s="487">
        <f>SUM(E222,E226,E230,E237)</f>
        <v>311066</v>
      </c>
    </row>
    <row r="222" spans="1:5" s="712" customFormat="1" ht="15.75" thickBot="1">
      <c r="A222" s="1546"/>
      <c r="B222" s="709">
        <v>80102</v>
      </c>
      <c r="C222" s="710" t="s">
        <v>697</v>
      </c>
      <c r="D222" s="711"/>
      <c r="E222" s="491">
        <f>SUM(E223,E225)</f>
        <v>2500</v>
      </c>
    </row>
    <row r="223" spans="1:5">
      <c r="A223" s="1536"/>
      <c r="B223" s="1524" t="s">
        <v>588</v>
      </c>
      <c r="C223" s="1524"/>
      <c r="D223" s="695"/>
      <c r="E223" s="493">
        <f>SUM(E224:E224)</f>
        <v>2500</v>
      </c>
    </row>
    <row r="224" spans="1:5" ht="17.25" customHeight="1">
      <c r="A224" s="1536"/>
      <c r="B224" s="713"/>
      <c r="C224" s="714" t="s">
        <v>698</v>
      </c>
      <c r="D224" s="577" t="s">
        <v>591</v>
      </c>
      <c r="E224" s="495">
        <v>2500</v>
      </c>
    </row>
    <row r="225" spans="1:5" ht="15.75" thickBot="1">
      <c r="A225" s="1536"/>
      <c r="B225" s="1547" t="s">
        <v>592</v>
      </c>
      <c r="C225" s="1547"/>
      <c r="D225" s="715"/>
      <c r="E225" s="556">
        <v>0</v>
      </c>
    </row>
    <row r="226" spans="1:5" s="712" customFormat="1" ht="15.75" thickBot="1">
      <c r="A226" s="1536"/>
      <c r="B226" s="709">
        <v>80130</v>
      </c>
      <c r="C226" s="710" t="s">
        <v>699</v>
      </c>
      <c r="D226" s="711"/>
      <c r="E226" s="491">
        <f>SUM(E227,E229)</f>
        <v>6330</v>
      </c>
    </row>
    <row r="227" spans="1:5">
      <c r="A227" s="1536"/>
      <c r="B227" s="1524" t="s">
        <v>588</v>
      </c>
      <c r="C227" s="1524"/>
      <c r="D227" s="695"/>
      <c r="E227" s="493">
        <f>SUM(E228:E228)</f>
        <v>6330</v>
      </c>
    </row>
    <row r="228" spans="1:5" ht="20.25" customHeight="1">
      <c r="A228" s="1536"/>
      <c r="B228" s="716"/>
      <c r="C228" s="717" t="s">
        <v>698</v>
      </c>
      <c r="D228" s="577" t="s">
        <v>591</v>
      </c>
      <c r="E228" s="495">
        <v>6330</v>
      </c>
    </row>
    <row r="229" spans="1:5" ht="15.75" thickBot="1">
      <c r="A229" s="1536"/>
      <c r="B229" s="1519" t="s">
        <v>592</v>
      </c>
      <c r="C229" s="1519"/>
      <c r="D229" s="718"/>
      <c r="E229" s="556">
        <v>0</v>
      </c>
    </row>
    <row r="230" spans="1:5" ht="15.75" thickBot="1">
      <c r="A230" s="1536"/>
      <c r="B230" s="709">
        <v>80146</v>
      </c>
      <c r="C230" s="710" t="s">
        <v>700</v>
      </c>
      <c r="D230" s="711"/>
      <c r="E230" s="491">
        <f>SUM(E231,E236)</f>
        <v>271346</v>
      </c>
    </row>
    <row r="231" spans="1:5">
      <c r="A231" s="1536"/>
      <c r="B231" s="1537" t="s">
        <v>588</v>
      </c>
      <c r="C231" s="1533"/>
      <c r="D231" s="719"/>
      <c r="E231" s="503">
        <f>SUM(E232:E235)</f>
        <v>271346</v>
      </c>
    </row>
    <row r="232" spans="1:5" ht="51.75" customHeight="1">
      <c r="A232" s="1536"/>
      <c r="B232" s="1515"/>
      <c r="C232" s="696" t="s">
        <v>701</v>
      </c>
      <c r="D232" s="1540" t="s">
        <v>404</v>
      </c>
      <c r="E232" s="720">
        <v>129728</v>
      </c>
    </row>
    <row r="233" spans="1:5" ht="55.5" customHeight="1">
      <c r="A233" s="1536"/>
      <c r="B233" s="1515"/>
      <c r="C233" s="721" t="s">
        <v>702</v>
      </c>
      <c r="D233" s="1541"/>
      <c r="E233" s="720">
        <v>111999</v>
      </c>
    </row>
    <row r="234" spans="1:5" ht="52.5" customHeight="1">
      <c r="A234" s="1536"/>
      <c r="B234" s="1515"/>
      <c r="C234" s="714" t="s">
        <v>703</v>
      </c>
      <c r="D234" s="1542" t="s">
        <v>437</v>
      </c>
      <c r="E234" s="506">
        <v>13723</v>
      </c>
    </row>
    <row r="235" spans="1:5" ht="56.25" customHeight="1">
      <c r="A235" s="1536"/>
      <c r="B235" s="1515"/>
      <c r="C235" s="466" t="s">
        <v>704</v>
      </c>
      <c r="D235" s="1540"/>
      <c r="E235" s="506">
        <v>15896</v>
      </c>
    </row>
    <row r="236" spans="1:5" ht="16.5" customHeight="1" thickBot="1">
      <c r="A236" s="1536"/>
      <c r="B236" s="1538" t="s">
        <v>592</v>
      </c>
      <c r="C236" s="1539"/>
      <c r="D236" s="722"/>
      <c r="E236" s="498">
        <v>0</v>
      </c>
    </row>
    <row r="237" spans="1:5" s="712" customFormat="1" ht="15.75" thickBot="1">
      <c r="A237" s="1536"/>
      <c r="B237" s="709">
        <v>80147</v>
      </c>
      <c r="C237" s="710" t="s">
        <v>705</v>
      </c>
      <c r="D237" s="711"/>
      <c r="E237" s="491">
        <f>SUM(E238,E242)</f>
        <v>30890</v>
      </c>
    </row>
    <row r="238" spans="1:5" ht="18" customHeight="1">
      <c r="A238" s="1536"/>
      <c r="B238" s="1524" t="s">
        <v>588</v>
      </c>
      <c r="C238" s="1523"/>
      <c r="D238" s="687"/>
      <c r="E238" s="493">
        <f>SUM(E239:E241)</f>
        <v>30890</v>
      </c>
    </row>
    <row r="239" spans="1:5" ht="16.5" customHeight="1">
      <c r="A239" s="1536"/>
      <c r="B239" s="1514"/>
      <c r="C239" s="1543" t="s">
        <v>706</v>
      </c>
      <c r="D239" s="577" t="s">
        <v>590</v>
      </c>
      <c r="E239" s="534">
        <v>4000</v>
      </c>
    </row>
    <row r="240" spans="1:5" ht="17.25" customHeight="1">
      <c r="A240" s="1536"/>
      <c r="B240" s="1515"/>
      <c r="C240" s="1544"/>
      <c r="D240" s="577" t="s">
        <v>649</v>
      </c>
      <c r="E240" s="534">
        <v>500</v>
      </c>
    </row>
    <row r="241" spans="1:5" ht="15" customHeight="1">
      <c r="A241" s="1536"/>
      <c r="B241" s="1515"/>
      <c r="C241" s="1545"/>
      <c r="D241" s="577" t="s">
        <v>591</v>
      </c>
      <c r="E241" s="495">
        <v>26390</v>
      </c>
    </row>
    <row r="242" spans="1:5" ht="15.75" thickBot="1">
      <c r="A242" s="1536"/>
      <c r="B242" s="1538" t="s">
        <v>592</v>
      </c>
      <c r="C242" s="1548"/>
      <c r="D242" s="722"/>
      <c r="E242" s="498">
        <v>0</v>
      </c>
    </row>
    <row r="243" spans="1:5" s="708" customFormat="1" ht="14.25" customHeight="1" thickBot="1">
      <c r="A243" s="666">
        <v>851</v>
      </c>
      <c r="B243" s="706"/>
      <c r="C243" s="668" t="s">
        <v>707</v>
      </c>
      <c r="D243" s="707"/>
      <c r="E243" s="550">
        <f>SUM(E244,E252,E256)</f>
        <v>97000</v>
      </c>
    </row>
    <row r="244" spans="1:5" s="708" customFormat="1" ht="15.75" customHeight="1" thickBot="1">
      <c r="A244" s="1536"/>
      <c r="B244" s="685">
        <v>85141</v>
      </c>
      <c r="C244" s="671" t="s">
        <v>238</v>
      </c>
      <c r="D244" s="686"/>
      <c r="E244" s="491">
        <f t="shared" ref="E244" si="26">SUM(E245,E246)</f>
        <v>40000</v>
      </c>
    </row>
    <row r="245" spans="1:5" s="708" customFormat="1">
      <c r="A245" s="1536"/>
      <c r="B245" s="1549" t="s">
        <v>615</v>
      </c>
      <c r="C245" s="1550"/>
      <c r="D245" s="687"/>
      <c r="E245" s="493">
        <v>0</v>
      </c>
    </row>
    <row r="246" spans="1:5" s="708" customFormat="1">
      <c r="A246" s="1536"/>
      <c r="B246" s="1518" t="s">
        <v>595</v>
      </c>
      <c r="C246" s="1551"/>
      <c r="D246" s="723"/>
      <c r="E246" s="510">
        <f t="shared" ref="E246" si="27">SUM(E247)</f>
        <v>40000</v>
      </c>
    </row>
    <row r="247" spans="1:5" s="609" customFormat="1" ht="39.75" customHeight="1" thickBot="1">
      <c r="A247" s="724"/>
      <c r="B247" s="725"/>
      <c r="C247" s="726" t="s">
        <v>708</v>
      </c>
      <c r="D247" s="727">
        <v>6510</v>
      </c>
      <c r="E247" s="513">
        <v>40000</v>
      </c>
    </row>
    <row r="248" spans="1:5" s="609" customFormat="1" ht="0.75" hidden="1" customHeight="1" thickBot="1">
      <c r="A248" s="724"/>
      <c r="B248" s="685">
        <v>85120</v>
      </c>
      <c r="C248" s="671" t="s">
        <v>709</v>
      </c>
      <c r="D248" s="686"/>
      <c r="E248" s="728"/>
    </row>
    <row r="249" spans="1:5" s="609" customFormat="1" ht="27" hidden="1" customHeight="1" thickBot="1">
      <c r="A249" s="724"/>
      <c r="B249" s="1532" t="s">
        <v>615</v>
      </c>
      <c r="C249" s="1533"/>
      <c r="D249" s="687"/>
      <c r="E249" s="728"/>
    </row>
    <row r="250" spans="1:5" s="609" customFormat="1" ht="29.25" hidden="1" customHeight="1" thickBot="1">
      <c r="A250" s="724"/>
      <c r="B250" s="1534" t="s">
        <v>595</v>
      </c>
      <c r="C250" s="1535"/>
      <c r="D250" s="723"/>
      <c r="E250" s="728"/>
    </row>
    <row r="251" spans="1:5" s="609" customFormat="1" ht="27" hidden="1" customHeight="1" thickBot="1">
      <c r="A251" s="724"/>
      <c r="B251" s="729"/>
      <c r="C251" s="730" t="s">
        <v>710</v>
      </c>
      <c r="D251" s="697">
        <v>6660</v>
      </c>
      <c r="E251" s="728"/>
    </row>
    <row r="252" spans="1:5" s="712" customFormat="1" ht="26.25" thickBot="1">
      <c r="A252" s="1536"/>
      <c r="B252" s="731">
        <v>85156</v>
      </c>
      <c r="C252" s="671" t="s">
        <v>257</v>
      </c>
      <c r="D252" s="686"/>
      <c r="E252" s="491">
        <f t="shared" ref="E252" si="28">SUM(E253,E255)</f>
        <v>27000</v>
      </c>
    </row>
    <row r="253" spans="1:5" ht="12.75" customHeight="1">
      <c r="A253" s="1536"/>
      <c r="B253" s="1537" t="s">
        <v>588</v>
      </c>
      <c r="C253" s="1533"/>
      <c r="D253" s="732"/>
      <c r="E253" s="493">
        <f t="shared" ref="E253" si="29">SUM(E254)</f>
        <v>27000</v>
      </c>
    </row>
    <row r="254" spans="1:5" ht="39.75" customHeight="1">
      <c r="A254" s="1536"/>
      <c r="B254" s="733"/>
      <c r="C254" s="734" t="s">
        <v>593</v>
      </c>
      <c r="D254" s="735">
        <v>2210</v>
      </c>
      <c r="E254" s="495">
        <v>27000</v>
      </c>
    </row>
    <row r="255" spans="1:5" ht="15.75" thickBot="1">
      <c r="A255" s="1536"/>
      <c r="B255" s="1538" t="s">
        <v>592</v>
      </c>
      <c r="C255" s="1539"/>
      <c r="D255" s="736"/>
      <c r="E255" s="498">
        <v>0</v>
      </c>
    </row>
    <row r="256" spans="1:5" s="712" customFormat="1" ht="15.75" thickBot="1">
      <c r="A256" s="724"/>
      <c r="B256" s="685">
        <v>85195</v>
      </c>
      <c r="C256" s="671" t="s">
        <v>213</v>
      </c>
      <c r="D256" s="686"/>
      <c r="E256" s="491">
        <f>SUM(E257,E259)</f>
        <v>30000</v>
      </c>
    </row>
    <row r="257" spans="1:5" ht="12.75" customHeight="1">
      <c r="A257" s="724"/>
      <c r="B257" s="1524" t="s">
        <v>588</v>
      </c>
      <c r="C257" s="1553"/>
      <c r="D257" s="695"/>
      <c r="E257" s="493">
        <f t="shared" ref="E257" si="30">SUM(E258)</f>
        <v>30000</v>
      </c>
    </row>
    <row r="258" spans="1:5" ht="41.25" customHeight="1">
      <c r="A258" s="724"/>
      <c r="B258" s="737"/>
      <c r="C258" s="738" t="s">
        <v>593</v>
      </c>
      <c r="D258" s="735">
        <v>2210</v>
      </c>
      <c r="E258" s="495">
        <v>30000</v>
      </c>
    </row>
    <row r="259" spans="1:5" ht="15.75" thickBot="1">
      <c r="A259" s="739"/>
      <c r="B259" s="1538" t="s">
        <v>592</v>
      </c>
      <c r="C259" s="1539"/>
      <c r="D259" s="736"/>
      <c r="E259" s="498">
        <v>0</v>
      </c>
    </row>
    <row r="260" spans="1:5" s="708" customFormat="1" ht="15.75" thickBot="1">
      <c r="A260" s="666">
        <v>852</v>
      </c>
      <c r="B260" s="706"/>
      <c r="C260" s="668" t="s">
        <v>711</v>
      </c>
      <c r="D260" s="707"/>
      <c r="E260" s="487">
        <f>SUM(E261,E265,E269)</f>
        <v>119265</v>
      </c>
    </row>
    <row r="261" spans="1:5" s="708" customFormat="1" ht="15.75" thickBot="1">
      <c r="A261" s="740"/>
      <c r="B261" s="685">
        <v>85205</v>
      </c>
      <c r="C261" s="671" t="s">
        <v>712</v>
      </c>
      <c r="D261" s="686"/>
      <c r="E261" s="491">
        <f>SUM(E264,E262)</f>
        <v>50000</v>
      </c>
    </row>
    <row r="262" spans="1:5" s="708" customFormat="1">
      <c r="A262" s="724"/>
      <c r="B262" s="1523" t="s">
        <v>588</v>
      </c>
      <c r="C262" s="1554"/>
      <c r="D262" s="687"/>
      <c r="E262" s="493">
        <f>SUM(E263:E263)</f>
        <v>50000</v>
      </c>
    </row>
    <row r="263" spans="1:5" s="708" customFormat="1" ht="25.5">
      <c r="A263" s="724"/>
      <c r="B263" s="741"/>
      <c r="C263" s="742" t="s">
        <v>713</v>
      </c>
      <c r="D263" s="697">
        <v>2230</v>
      </c>
      <c r="E263" s="495">
        <v>50000</v>
      </c>
    </row>
    <row r="264" spans="1:5" s="708" customFormat="1" ht="15" customHeight="1" thickBot="1">
      <c r="A264" s="724"/>
      <c r="B264" s="1547" t="s">
        <v>592</v>
      </c>
      <c r="C264" s="1535"/>
      <c r="D264" s="715"/>
      <c r="E264" s="556">
        <v>0</v>
      </c>
    </row>
    <row r="265" spans="1:5" s="712" customFormat="1" ht="19.5" customHeight="1" thickBot="1">
      <c r="A265" s="740"/>
      <c r="B265" s="731">
        <v>85217</v>
      </c>
      <c r="C265" s="671" t="s">
        <v>714</v>
      </c>
      <c r="D265" s="686"/>
      <c r="E265" s="491">
        <f>SUM(E266,E268)</f>
        <v>1200</v>
      </c>
    </row>
    <row r="266" spans="1:5" ht="16.5" customHeight="1">
      <c r="A266" s="740"/>
      <c r="B266" s="1555" t="s">
        <v>588</v>
      </c>
      <c r="C266" s="1524"/>
      <c r="D266" s="695"/>
      <c r="E266" s="493">
        <f>SUM(E267:E267)</f>
        <v>1200</v>
      </c>
    </row>
    <row r="267" spans="1:5" ht="31.5" customHeight="1">
      <c r="A267" s="740"/>
      <c r="B267" s="716"/>
      <c r="C267" s="743" t="s">
        <v>715</v>
      </c>
      <c r="D267" s="744" t="s">
        <v>591</v>
      </c>
      <c r="E267" s="495">
        <v>1200</v>
      </c>
    </row>
    <row r="268" spans="1:5" ht="14.25" customHeight="1" thickBot="1">
      <c r="A268" s="740"/>
      <c r="B268" s="1538" t="s">
        <v>592</v>
      </c>
      <c r="C268" s="1548"/>
      <c r="D268" s="736"/>
      <c r="E268" s="615">
        <v>0</v>
      </c>
    </row>
    <row r="269" spans="1:5" s="712" customFormat="1" ht="16.5" customHeight="1" thickBot="1">
      <c r="A269" s="740"/>
      <c r="B269" s="731">
        <v>85295</v>
      </c>
      <c r="C269" s="671" t="s">
        <v>213</v>
      </c>
      <c r="D269" s="686"/>
      <c r="E269" s="491">
        <f>E270+E272</f>
        <v>68065</v>
      </c>
    </row>
    <row r="270" spans="1:5" ht="16.5" customHeight="1">
      <c r="A270" s="740"/>
      <c r="B270" s="1555" t="s">
        <v>588</v>
      </c>
      <c r="C270" s="1524"/>
      <c r="D270" s="695"/>
      <c r="E270" s="493">
        <f>E271</f>
        <v>68065</v>
      </c>
    </row>
    <row r="271" spans="1:5" ht="78.75" customHeight="1">
      <c r="A271" s="740"/>
      <c r="B271" s="716"/>
      <c r="C271" s="743" t="s">
        <v>716</v>
      </c>
      <c r="D271" s="745" t="s">
        <v>436</v>
      </c>
      <c r="E271" s="495">
        <v>68065</v>
      </c>
    </row>
    <row r="272" spans="1:5" ht="14.25" customHeight="1" thickBot="1">
      <c r="A272" s="740"/>
      <c r="B272" s="1538" t="s">
        <v>592</v>
      </c>
      <c r="C272" s="1539"/>
      <c r="D272" s="746"/>
      <c r="E272" s="615">
        <v>0</v>
      </c>
    </row>
    <row r="273" spans="1:5" s="708" customFormat="1" ht="15.75" thickBot="1">
      <c r="A273" s="666">
        <v>853</v>
      </c>
      <c r="B273" s="706"/>
      <c r="C273" s="668" t="s">
        <v>242</v>
      </c>
      <c r="D273" s="707"/>
      <c r="E273" s="550">
        <f>SUM(E274,E278)</f>
        <v>6985648</v>
      </c>
    </row>
    <row r="274" spans="1:5" ht="15.75" thickBot="1">
      <c r="A274" s="740"/>
      <c r="B274" s="685">
        <v>85324</v>
      </c>
      <c r="C274" s="686" t="s">
        <v>717</v>
      </c>
      <c r="D274" s="711"/>
      <c r="E274" s="491">
        <f t="shared" ref="E274" si="31">E275+E277</f>
        <v>261436</v>
      </c>
    </row>
    <row r="275" spans="1:5">
      <c r="A275" s="740"/>
      <c r="B275" s="1524" t="s">
        <v>588</v>
      </c>
      <c r="C275" s="1524"/>
      <c r="D275" s="695"/>
      <c r="E275" s="493">
        <f t="shared" ref="E275" si="32">E276</f>
        <v>261436</v>
      </c>
    </row>
    <row r="276" spans="1:5" ht="27" customHeight="1">
      <c r="A276" s="740"/>
      <c r="B276" s="747"/>
      <c r="C276" s="748" t="s">
        <v>718</v>
      </c>
      <c r="D276" s="749" t="s">
        <v>591</v>
      </c>
      <c r="E276" s="495">
        <v>261436</v>
      </c>
    </row>
    <row r="277" spans="1:5" ht="15.75" thickBot="1">
      <c r="A277" s="740"/>
      <c r="B277" s="1538" t="s">
        <v>592</v>
      </c>
      <c r="C277" s="1548"/>
      <c r="D277" s="736"/>
      <c r="E277" s="498">
        <v>0</v>
      </c>
    </row>
    <row r="278" spans="1:5" s="712" customFormat="1" ht="15.75" thickBot="1">
      <c r="A278" s="1526"/>
      <c r="B278" s="685">
        <v>85332</v>
      </c>
      <c r="C278" s="671" t="s">
        <v>719</v>
      </c>
      <c r="D278" s="686"/>
      <c r="E278" s="491">
        <f>SUM(E279,E285)</f>
        <v>6724212</v>
      </c>
    </row>
    <row r="279" spans="1:5">
      <c r="A279" s="1526"/>
      <c r="B279" s="1537" t="s">
        <v>588</v>
      </c>
      <c r="C279" s="1532"/>
      <c r="D279" s="732"/>
      <c r="E279" s="503">
        <f>SUM(E280:E284)</f>
        <v>6724212</v>
      </c>
    </row>
    <row r="280" spans="1:5" ht="27" customHeight="1">
      <c r="A280" s="1526"/>
      <c r="B280" s="1515"/>
      <c r="C280" s="750" t="s">
        <v>671</v>
      </c>
      <c r="D280" s="751" t="s">
        <v>591</v>
      </c>
      <c r="E280" s="513">
        <v>9408</v>
      </c>
    </row>
    <row r="281" spans="1:5" ht="36.75" customHeight="1">
      <c r="A281" s="1526"/>
      <c r="B281" s="1515"/>
      <c r="C281" s="691" t="s">
        <v>720</v>
      </c>
      <c r="D281" s="752" t="s">
        <v>435</v>
      </c>
      <c r="E281" s="495">
        <v>1461000</v>
      </c>
    </row>
    <row r="282" spans="1:5" ht="39.75" customHeight="1">
      <c r="A282" s="1526"/>
      <c r="B282" s="1515"/>
      <c r="C282" s="691" t="s">
        <v>721</v>
      </c>
      <c r="D282" s="744" t="s">
        <v>436</v>
      </c>
      <c r="E282" s="513">
        <v>4109804</v>
      </c>
    </row>
    <row r="283" spans="1:5" ht="38.25">
      <c r="A283" s="1526"/>
      <c r="B283" s="1515"/>
      <c r="C283" s="675" t="s">
        <v>593</v>
      </c>
      <c r="D283" s="753" t="s">
        <v>642</v>
      </c>
      <c r="E283" s="534">
        <v>2000</v>
      </c>
    </row>
    <row r="284" spans="1:5" ht="29.25" customHeight="1">
      <c r="A284" s="1526"/>
      <c r="B284" s="1552"/>
      <c r="C284" s="691" t="s">
        <v>722</v>
      </c>
      <c r="D284" s="745" t="s">
        <v>613</v>
      </c>
      <c r="E284" s="495">
        <v>1142000</v>
      </c>
    </row>
    <row r="285" spans="1:5" ht="15.75" thickBot="1">
      <c r="A285" s="1526"/>
      <c r="B285" s="1538" t="s">
        <v>592</v>
      </c>
      <c r="C285" s="1548"/>
      <c r="D285" s="736"/>
      <c r="E285" s="498">
        <v>0</v>
      </c>
    </row>
    <row r="286" spans="1:5" s="609" customFormat="1" ht="15.75" thickBot="1">
      <c r="A286" s="754">
        <v>855</v>
      </c>
      <c r="B286" s="755"/>
      <c r="C286" s="668" t="s">
        <v>181</v>
      </c>
      <c r="D286" s="707"/>
      <c r="E286" s="487">
        <f>SUM(E293,E297,E287)</f>
        <v>4137027</v>
      </c>
    </row>
    <row r="287" spans="1:5" s="609" customFormat="1" ht="18" customHeight="1" thickBot="1">
      <c r="A287" s="756"/>
      <c r="B287" s="757">
        <v>85504</v>
      </c>
      <c r="C287" s="671" t="s">
        <v>723</v>
      </c>
      <c r="D287" s="758"/>
      <c r="E287" s="531">
        <f t="shared" ref="E287" si="33">E288+E292</f>
        <v>2180477</v>
      </c>
    </row>
    <row r="288" spans="1:5" s="609" customFormat="1">
      <c r="A288" s="756"/>
      <c r="B288" s="1524" t="s">
        <v>588</v>
      </c>
      <c r="C288" s="1524"/>
      <c r="D288" s="695"/>
      <c r="E288" s="556">
        <f>SUM(E289:E291)</f>
        <v>2180477</v>
      </c>
    </row>
    <row r="289" spans="1:5" s="609" customFormat="1" ht="27.75" customHeight="1">
      <c r="A289" s="756"/>
      <c r="B289" s="759"/>
      <c r="C289" s="1556" t="s">
        <v>724</v>
      </c>
      <c r="D289" s="745" t="s">
        <v>390</v>
      </c>
      <c r="E289" s="495">
        <v>1270121</v>
      </c>
    </row>
    <row r="290" spans="1:5" s="609" customFormat="1" ht="25.5" customHeight="1">
      <c r="A290" s="756"/>
      <c r="B290" s="760"/>
      <c r="C290" s="1557"/>
      <c r="D290" s="745" t="s">
        <v>404</v>
      </c>
      <c r="E290" s="495">
        <v>624351</v>
      </c>
    </row>
    <row r="291" spans="1:5" s="609" customFormat="1" ht="47.25" customHeight="1">
      <c r="A291" s="756"/>
      <c r="B291" s="760"/>
      <c r="C291" s="761" t="s">
        <v>725</v>
      </c>
      <c r="D291" s="745" t="s">
        <v>437</v>
      </c>
      <c r="E291" s="495">
        <v>286005</v>
      </c>
    </row>
    <row r="292" spans="1:5" s="609" customFormat="1" ht="15.75" thickBot="1">
      <c r="A292" s="756"/>
      <c r="B292" s="1538" t="s">
        <v>592</v>
      </c>
      <c r="C292" s="1548"/>
      <c r="D292" s="736"/>
      <c r="E292" s="498">
        <v>0</v>
      </c>
    </row>
    <row r="293" spans="1:5" s="609" customFormat="1" ht="15.75" thickBot="1">
      <c r="A293" s="756"/>
      <c r="B293" s="757">
        <v>85509</v>
      </c>
      <c r="C293" s="686" t="s">
        <v>726</v>
      </c>
      <c r="D293" s="758"/>
      <c r="E293" s="491">
        <f t="shared" ref="E293" si="34">SUM(E294,E296)</f>
        <v>750000</v>
      </c>
    </row>
    <row r="294" spans="1:5" s="609" customFormat="1">
      <c r="A294" s="756"/>
      <c r="B294" s="1524" t="s">
        <v>588</v>
      </c>
      <c r="C294" s="1524"/>
      <c r="D294" s="695"/>
      <c r="E294" s="493">
        <f t="shared" ref="E294" si="35">SUM(E295)</f>
        <v>750000</v>
      </c>
    </row>
    <row r="295" spans="1:5" s="609" customFormat="1" ht="38.25">
      <c r="A295" s="756"/>
      <c r="B295" s="762"/>
      <c r="C295" s="748" t="s">
        <v>593</v>
      </c>
      <c r="D295" s="753" t="s">
        <v>642</v>
      </c>
      <c r="E295" s="495">
        <v>750000</v>
      </c>
    </row>
    <row r="296" spans="1:5" s="609" customFormat="1" ht="15.75" thickBot="1">
      <c r="A296" s="756"/>
      <c r="B296" s="1547" t="s">
        <v>592</v>
      </c>
      <c r="C296" s="1547"/>
      <c r="D296" s="715"/>
      <c r="E296" s="556">
        <v>0</v>
      </c>
    </row>
    <row r="297" spans="1:5" s="609" customFormat="1" ht="15.75" thickBot="1">
      <c r="A297" s="756"/>
      <c r="B297" s="757">
        <v>85510</v>
      </c>
      <c r="C297" s="763" t="s">
        <v>727</v>
      </c>
      <c r="D297" s="758"/>
      <c r="E297" s="491">
        <f t="shared" ref="E297" si="36">SUM(E298,E300)</f>
        <v>1206550</v>
      </c>
    </row>
    <row r="298" spans="1:5" s="609" customFormat="1" ht="15.75" customHeight="1">
      <c r="A298" s="764"/>
      <c r="B298" s="1555" t="s">
        <v>588</v>
      </c>
      <c r="C298" s="1524"/>
      <c r="D298" s="695"/>
      <c r="E298" s="493">
        <f t="shared" ref="E298" si="37">SUM(E299)</f>
        <v>1206550</v>
      </c>
    </row>
    <row r="299" spans="1:5" s="609" customFormat="1" ht="38.25">
      <c r="A299" s="764"/>
      <c r="B299" s="733"/>
      <c r="C299" s="675" t="s">
        <v>728</v>
      </c>
      <c r="D299" s="753" t="s">
        <v>729</v>
      </c>
      <c r="E299" s="495">
        <v>1206550</v>
      </c>
    </row>
    <row r="300" spans="1:5" s="609" customFormat="1" ht="15.75" customHeight="1" thickBot="1">
      <c r="A300" s="765"/>
      <c r="B300" s="1538" t="s">
        <v>592</v>
      </c>
      <c r="C300" s="1548"/>
      <c r="D300" s="736"/>
      <c r="E300" s="615">
        <v>0</v>
      </c>
    </row>
    <row r="301" spans="1:5" s="708" customFormat="1" ht="15.75" thickBot="1">
      <c r="A301" s="666">
        <v>900</v>
      </c>
      <c r="B301" s="706"/>
      <c r="C301" s="668" t="s">
        <v>730</v>
      </c>
      <c r="D301" s="707"/>
      <c r="E301" s="487">
        <f>SUM(E302,E306,E312)</f>
        <v>643500</v>
      </c>
    </row>
    <row r="302" spans="1:5" s="712" customFormat="1" ht="26.25" thickBot="1">
      <c r="A302" s="1558"/>
      <c r="B302" s="685">
        <v>90019</v>
      </c>
      <c r="C302" s="671" t="s">
        <v>731</v>
      </c>
      <c r="D302" s="686"/>
      <c r="E302" s="491">
        <f t="shared" ref="E302" si="38">SUM(E303,E305)</f>
        <v>635000</v>
      </c>
    </row>
    <row r="303" spans="1:5" ht="14.25" customHeight="1">
      <c r="A303" s="1558"/>
      <c r="B303" s="1524" t="s">
        <v>588</v>
      </c>
      <c r="C303" s="1524"/>
      <c r="D303" s="695"/>
      <c r="E303" s="493">
        <f t="shared" ref="E303" si="39">SUM(E304)</f>
        <v>635000</v>
      </c>
    </row>
    <row r="304" spans="1:5" ht="23.25" customHeight="1">
      <c r="A304" s="1558"/>
      <c r="B304" s="762"/>
      <c r="C304" s="675" t="s">
        <v>732</v>
      </c>
      <c r="D304" s="753" t="s">
        <v>603</v>
      </c>
      <c r="E304" s="495">
        <v>635000</v>
      </c>
    </row>
    <row r="305" spans="1:5" ht="15.75" thickBot="1">
      <c r="A305" s="1558"/>
      <c r="B305" s="1547" t="s">
        <v>592</v>
      </c>
      <c r="C305" s="1547"/>
      <c r="D305" s="715"/>
      <c r="E305" s="556">
        <v>0</v>
      </c>
    </row>
    <row r="306" spans="1:5" s="712" customFormat="1" ht="26.25" thickBot="1">
      <c r="A306" s="1558"/>
      <c r="B306" s="685">
        <v>90020</v>
      </c>
      <c r="C306" s="671" t="s">
        <v>733</v>
      </c>
      <c r="D306" s="686"/>
      <c r="E306" s="491">
        <f>SUM(E307,E311)</f>
        <v>7000</v>
      </c>
    </row>
    <row r="307" spans="1:5">
      <c r="A307" s="1558"/>
      <c r="B307" s="1524" t="s">
        <v>588</v>
      </c>
      <c r="C307" s="1524"/>
      <c r="D307" s="695"/>
      <c r="E307" s="493">
        <f>SUM(E308:E310)</f>
        <v>7000</v>
      </c>
    </row>
    <row r="308" spans="1:5" ht="25.5">
      <c r="A308" s="1558"/>
      <c r="B308" s="1559"/>
      <c r="C308" s="675" t="s">
        <v>734</v>
      </c>
      <c r="D308" s="766" t="s">
        <v>735</v>
      </c>
      <c r="E308" s="495">
        <v>6000</v>
      </c>
    </row>
    <row r="309" spans="1:5" ht="29.25" customHeight="1">
      <c r="A309" s="1558"/>
      <c r="B309" s="1560"/>
      <c r="C309" s="767" t="s">
        <v>736</v>
      </c>
      <c r="D309" s="768" t="s">
        <v>737</v>
      </c>
      <c r="E309" s="495">
        <v>900</v>
      </c>
    </row>
    <row r="310" spans="1:5" ht="25.5">
      <c r="A310" s="1558"/>
      <c r="B310" s="1561"/>
      <c r="C310" s="767" t="s">
        <v>738</v>
      </c>
      <c r="D310" s="768" t="s">
        <v>591</v>
      </c>
      <c r="E310" s="495">
        <v>100</v>
      </c>
    </row>
    <row r="311" spans="1:5" ht="15.75" thickBot="1">
      <c r="A311" s="1558"/>
      <c r="B311" s="1548" t="s">
        <v>592</v>
      </c>
      <c r="C311" s="1548"/>
      <c r="D311" s="736"/>
      <c r="E311" s="498">
        <v>0</v>
      </c>
    </row>
    <row r="312" spans="1:5" ht="26.25" thickBot="1">
      <c r="A312" s="1558"/>
      <c r="B312" s="769">
        <v>90024</v>
      </c>
      <c r="C312" s="680" t="s">
        <v>739</v>
      </c>
      <c r="D312" s="770"/>
      <c r="E312" s="491">
        <f t="shared" ref="E312" si="40">SUM(E317,E313)</f>
        <v>1500</v>
      </c>
    </row>
    <row r="313" spans="1:5">
      <c r="A313" s="1558"/>
      <c r="B313" s="1523" t="s">
        <v>588</v>
      </c>
      <c r="C313" s="1523"/>
      <c r="D313" s="687"/>
      <c r="E313" s="493">
        <f>SUM(E314:E316)</f>
        <v>1500</v>
      </c>
    </row>
    <row r="314" spans="1:5" ht="16.5" customHeight="1">
      <c r="A314" s="1558"/>
      <c r="B314" s="1559"/>
      <c r="C314" s="1562" t="s">
        <v>740</v>
      </c>
      <c r="D314" s="771" t="s">
        <v>735</v>
      </c>
      <c r="E314" s="495">
        <v>100</v>
      </c>
    </row>
    <row r="315" spans="1:5" ht="15" customHeight="1">
      <c r="A315" s="1558"/>
      <c r="B315" s="1560"/>
      <c r="C315" s="1563"/>
      <c r="D315" s="772" t="s">
        <v>603</v>
      </c>
      <c r="E315" s="495">
        <v>1300</v>
      </c>
    </row>
    <row r="316" spans="1:5" ht="15.75" customHeight="1">
      <c r="A316" s="1558"/>
      <c r="B316" s="1561"/>
      <c r="C316" s="1564"/>
      <c r="D316" s="772" t="s">
        <v>591</v>
      </c>
      <c r="E316" s="495">
        <v>100</v>
      </c>
    </row>
    <row r="317" spans="1:5" ht="15" customHeight="1" thickBot="1">
      <c r="A317" s="1558"/>
      <c r="B317" s="1547" t="s">
        <v>592</v>
      </c>
      <c r="C317" s="1547"/>
      <c r="D317" s="715"/>
      <c r="E317" s="556">
        <v>0</v>
      </c>
    </row>
    <row r="318" spans="1:5" s="708" customFormat="1" ht="14.25" customHeight="1" thickBot="1">
      <c r="A318" s="773">
        <v>921</v>
      </c>
      <c r="B318" s="774"/>
      <c r="C318" s="775" t="s">
        <v>17</v>
      </c>
      <c r="D318" s="776"/>
      <c r="E318" s="487">
        <f>SUM(E319,E324)</f>
        <v>3350642</v>
      </c>
    </row>
    <row r="319" spans="1:5" s="712" customFormat="1" ht="15.75" thickBot="1">
      <c r="A319" s="1576"/>
      <c r="B319" s="685">
        <v>92116</v>
      </c>
      <c r="C319" s="671" t="s">
        <v>741</v>
      </c>
      <c r="D319" s="686"/>
      <c r="E319" s="491">
        <f>SUM(E320,E323)</f>
        <v>3307016</v>
      </c>
    </row>
    <row r="320" spans="1:5">
      <c r="A320" s="1576"/>
      <c r="B320" s="1537" t="s">
        <v>588</v>
      </c>
      <c r="C320" s="1532"/>
      <c r="D320" s="732"/>
      <c r="E320" s="493">
        <f>SUM(E321:E322)</f>
        <v>3307016</v>
      </c>
    </row>
    <row r="321" spans="1:5" ht="34.5" customHeight="1">
      <c r="A321" s="1576"/>
      <c r="B321" s="1515"/>
      <c r="C321" s="675" t="s">
        <v>742</v>
      </c>
      <c r="D321" s="777">
        <v>2310</v>
      </c>
      <c r="E321" s="495">
        <v>3234016</v>
      </c>
    </row>
    <row r="322" spans="1:5" ht="36.75" customHeight="1">
      <c r="A322" s="1576"/>
      <c r="B322" s="1552"/>
      <c r="C322" s="675" t="s">
        <v>743</v>
      </c>
      <c r="D322" s="777">
        <v>2320</v>
      </c>
      <c r="E322" s="495">
        <v>73000</v>
      </c>
    </row>
    <row r="323" spans="1:5" ht="15.75" thickBot="1">
      <c r="A323" s="1576"/>
      <c r="B323" s="1538" t="s">
        <v>592</v>
      </c>
      <c r="C323" s="1548"/>
      <c r="D323" s="736"/>
      <c r="E323" s="498">
        <v>0</v>
      </c>
    </row>
    <row r="324" spans="1:5" s="712" customFormat="1" ht="15.75" thickBot="1">
      <c r="A324" s="1576"/>
      <c r="B324" s="685">
        <v>92195</v>
      </c>
      <c r="C324" s="671" t="s">
        <v>213</v>
      </c>
      <c r="D324" s="686"/>
      <c r="E324" s="491">
        <f t="shared" ref="E324" si="41">E325+E327</f>
        <v>43626</v>
      </c>
    </row>
    <row r="325" spans="1:5">
      <c r="A325" s="1576"/>
      <c r="B325" s="1537" t="s">
        <v>588</v>
      </c>
      <c r="C325" s="1532"/>
      <c r="D325" s="732"/>
      <c r="E325" s="493">
        <f>E326</f>
        <v>43626</v>
      </c>
    </row>
    <row r="326" spans="1:5" ht="53.25" customHeight="1">
      <c r="A326" s="1576"/>
      <c r="B326" s="716"/>
      <c r="C326" s="675" t="s">
        <v>744</v>
      </c>
      <c r="D326" s="753" t="s">
        <v>436</v>
      </c>
      <c r="E326" s="495">
        <v>43626</v>
      </c>
    </row>
    <row r="327" spans="1:5" ht="15.75" thickBot="1">
      <c r="A327" s="1577"/>
      <c r="B327" s="1538" t="s">
        <v>592</v>
      </c>
      <c r="C327" s="1548"/>
      <c r="D327" s="736"/>
      <c r="E327" s="498"/>
    </row>
    <row r="328" spans="1:5" s="708" customFormat="1" ht="30" customHeight="1" thickBot="1">
      <c r="A328" s="666">
        <v>925</v>
      </c>
      <c r="B328" s="778"/>
      <c r="C328" s="779" t="s">
        <v>745</v>
      </c>
      <c r="D328" s="780"/>
      <c r="E328" s="550">
        <f t="shared" ref="E328" si="42">SUM(E329)</f>
        <v>700000</v>
      </c>
    </row>
    <row r="329" spans="1:5" s="712" customFormat="1" ht="15" customHeight="1" thickBot="1">
      <c r="A329" s="781"/>
      <c r="B329" s="709">
        <v>92502</v>
      </c>
      <c r="C329" s="710" t="s">
        <v>746</v>
      </c>
      <c r="D329" s="711"/>
      <c r="E329" s="491">
        <f>SUM(E332,E330)</f>
        <v>700000</v>
      </c>
    </row>
    <row r="330" spans="1:5">
      <c r="A330" s="740"/>
      <c r="B330" s="1537" t="s">
        <v>588</v>
      </c>
      <c r="C330" s="1532"/>
      <c r="D330" s="732"/>
      <c r="E330" s="493">
        <f>SUM(E331:E331)</f>
        <v>700000</v>
      </c>
    </row>
    <row r="331" spans="1:5" ht="30.75" customHeight="1">
      <c r="A331" s="740"/>
      <c r="B331" s="782"/>
      <c r="C331" s="783" t="s">
        <v>713</v>
      </c>
      <c r="D331" s="784">
        <v>2230</v>
      </c>
      <c r="E331" s="495">
        <v>700000</v>
      </c>
    </row>
    <row r="332" spans="1:5" ht="15.75" thickBot="1">
      <c r="A332" s="785"/>
      <c r="B332" s="1538" t="s">
        <v>592</v>
      </c>
      <c r="C332" s="1548"/>
      <c r="D332" s="736"/>
      <c r="E332" s="786">
        <v>0</v>
      </c>
    </row>
    <row r="333" spans="1:5" ht="21.75" customHeight="1" thickBot="1">
      <c r="A333" s="1565" t="s">
        <v>16</v>
      </c>
      <c r="B333" s="1566"/>
      <c r="C333" s="1566"/>
      <c r="D333" s="787"/>
      <c r="E333" s="788">
        <f>E10+E36+E42+E47+E87+E96+E116+E121+E126+E171+E184+E221+E243+E260+E273+E286+E301+E318+E328+E82</f>
        <v>1432979955</v>
      </c>
    </row>
    <row r="334" spans="1:5" ht="15" customHeight="1">
      <c r="A334" s="1567" t="s">
        <v>2</v>
      </c>
      <c r="B334" s="1568"/>
      <c r="C334" s="1569"/>
      <c r="D334" s="789"/>
      <c r="E334" s="790"/>
    </row>
    <row r="335" spans="1:5" ht="15" customHeight="1">
      <c r="A335" s="1570" t="s">
        <v>747</v>
      </c>
      <c r="B335" s="1571"/>
      <c r="C335" s="1572"/>
      <c r="D335" s="791"/>
      <c r="E335" s="792">
        <f>E12+E17+E24+E29+E33+E38+E44+E49+E55+E59+E63+E67+E77+E89+E98+E103+E107+E113+E118+E123+E128+E133+E143+E148+E157+E161+E173+E180+E186+E190+E194+E198+E202+E212+E223+E227+E231+E238+E245+E253+E257+E262+E266+E270+E275+E279+E288+E294+E298+E303+E307+E313+E320+E330+E325+E84</f>
        <v>786504071</v>
      </c>
    </row>
    <row r="336" spans="1:5" ht="15.75" thickBot="1">
      <c r="A336" s="1573" t="s">
        <v>748</v>
      </c>
      <c r="B336" s="1574"/>
      <c r="C336" s="1575"/>
      <c r="D336" s="793"/>
      <c r="E336" s="794">
        <f>E15+E20+E27+E31+E35+E41+E46+E53+E56+E61+E65+E71+E81+E93+E101+E105+E111+E115+E120+E125+E131+E141+E146+E155+E159+E169+E178+E183+E188+E192+E196+E200+E205+E218+E225+E229+E236+E242+E246+E255+E259+E264+E268+E277+E285+E292+E296+E300+E305+E311+E317+E323+E332+E327</f>
        <v>646475884</v>
      </c>
    </row>
    <row r="338" spans="1:4">
      <c r="A338" s="473"/>
      <c r="B338" s="473"/>
      <c r="C338" s="542"/>
      <c r="D338" s="795"/>
    </row>
    <row r="339" spans="1:4">
      <c r="A339" s="473"/>
      <c r="B339" s="473"/>
      <c r="C339" s="542"/>
      <c r="D339" s="795"/>
    </row>
    <row r="340" spans="1:4">
      <c r="A340" s="473"/>
      <c r="B340" s="473"/>
      <c r="C340" s="542"/>
      <c r="D340" s="795"/>
    </row>
    <row r="341" spans="1:4">
      <c r="A341" s="473"/>
      <c r="B341" s="473"/>
      <c r="C341" s="542"/>
      <c r="D341" s="795"/>
    </row>
    <row r="342" spans="1:4">
      <c r="A342" s="473"/>
      <c r="B342" s="473"/>
      <c r="C342" s="542"/>
      <c r="D342" s="795"/>
    </row>
    <row r="343" spans="1:4">
      <c r="A343" s="473"/>
      <c r="B343" s="473"/>
      <c r="C343" s="542"/>
      <c r="D343" s="795"/>
    </row>
    <row r="344" spans="1:4">
      <c r="A344" s="473"/>
      <c r="B344" s="473"/>
      <c r="C344" s="542"/>
      <c r="D344" s="795"/>
    </row>
    <row r="345" spans="1:4" s="472" customFormat="1">
      <c r="A345" s="473"/>
      <c r="B345" s="473"/>
      <c r="C345" s="542"/>
      <c r="D345" s="795"/>
    </row>
    <row r="346" spans="1:4" s="472" customFormat="1">
      <c r="A346" s="473"/>
      <c r="B346" s="473"/>
      <c r="C346" s="542"/>
      <c r="D346" s="795"/>
    </row>
    <row r="347" spans="1:4" s="472" customFormat="1">
      <c r="A347" s="473"/>
      <c r="B347" s="473"/>
      <c r="C347" s="542"/>
      <c r="D347" s="795"/>
    </row>
    <row r="348" spans="1:4" s="472" customFormat="1">
      <c r="A348" s="473"/>
      <c r="B348" s="473"/>
      <c r="C348" s="542"/>
      <c r="D348" s="795"/>
    </row>
    <row r="349" spans="1:4" s="472" customFormat="1">
      <c r="A349" s="473"/>
      <c r="B349" s="473"/>
      <c r="C349" s="542"/>
      <c r="D349" s="795"/>
    </row>
    <row r="350" spans="1:4" s="472" customFormat="1">
      <c r="A350" s="473"/>
      <c r="B350" s="473"/>
      <c r="C350" s="542"/>
      <c r="D350" s="795"/>
    </row>
    <row r="351" spans="1:4" s="472" customFormat="1">
      <c r="A351" s="473"/>
      <c r="B351" s="473"/>
      <c r="C351" s="542"/>
      <c r="D351" s="795"/>
    </row>
    <row r="352" spans="1:4" s="472" customFormat="1">
      <c r="A352" s="473"/>
      <c r="B352" s="473"/>
      <c r="C352" s="542"/>
      <c r="D352" s="795"/>
    </row>
    <row r="353" spans="1:4" s="472" customFormat="1">
      <c r="A353" s="473"/>
      <c r="B353" s="473"/>
      <c r="C353" s="542"/>
      <c r="D353" s="795"/>
    </row>
    <row r="354" spans="1:4" s="472" customFormat="1">
      <c r="A354" s="473"/>
      <c r="B354" s="473"/>
      <c r="C354" s="542"/>
      <c r="D354" s="795"/>
    </row>
    <row r="355" spans="1:4" s="472" customFormat="1">
      <c r="A355" s="473"/>
      <c r="B355" s="473"/>
      <c r="C355" s="542"/>
      <c r="D355" s="795"/>
    </row>
    <row r="356" spans="1:4" s="472" customFormat="1">
      <c r="A356" s="473"/>
      <c r="B356" s="473"/>
      <c r="C356" s="542"/>
      <c r="D356" s="795"/>
    </row>
    <row r="357" spans="1:4" s="472" customFormat="1">
      <c r="A357" s="473"/>
      <c r="B357" s="473"/>
      <c r="C357" s="542"/>
      <c r="D357" s="473"/>
    </row>
    <row r="358" spans="1:4" s="472" customFormat="1">
      <c r="A358" s="473"/>
      <c r="B358" s="473"/>
      <c r="C358" s="542"/>
      <c r="D358" s="473"/>
    </row>
    <row r="359" spans="1:4" s="472" customFormat="1">
      <c r="A359" s="473"/>
      <c r="B359" s="473"/>
      <c r="C359" s="542"/>
      <c r="D359" s="473"/>
    </row>
    <row r="360" spans="1:4" s="472" customFormat="1">
      <c r="A360" s="473"/>
      <c r="B360" s="473"/>
      <c r="C360" s="542"/>
      <c r="D360" s="473"/>
    </row>
    <row r="361" spans="1:4" s="472" customFormat="1">
      <c r="A361" s="473"/>
      <c r="B361" s="473"/>
      <c r="C361" s="542"/>
      <c r="D361" s="473"/>
    </row>
    <row r="362" spans="1:4" s="472" customFormat="1">
      <c r="A362" s="473"/>
      <c r="B362" s="473"/>
      <c r="C362" s="542"/>
      <c r="D362" s="473"/>
    </row>
    <row r="363" spans="1:4" s="472" customFormat="1">
      <c r="A363" s="473"/>
      <c r="B363" s="473"/>
      <c r="C363" s="542"/>
      <c r="D363" s="473"/>
    </row>
    <row r="364" spans="1:4" s="472" customFormat="1">
      <c r="A364" s="473"/>
      <c r="B364" s="473"/>
      <c r="C364" s="542"/>
      <c r="D364" s="473"/>
    </row>
    <row r="365" spans="1:4" s="472" customFormat="1">
      <c r="A365" s="473"/>
      <c r="B365" s="473"/>
      <c r="C365" s="542"/>
      <c r="D365" s="473"/>
    </row>
    <row r="366" spans="1:4" s="472" customFormat="1">
      <c r="A366" s="473"/>
      <c r="B366" s="473"/>
      <c r="C366" s="542"/>
      <c r="D366" s="473"/>
    </row>
    <row r="367" spans="1:4" s="472" customFormat="1">
      <c r="A367" s="473"/>
      <c r="B367" s="473"/>
      <c r="C367" s="542"/>
      <c r="D367" s="473"/>
    </row>
    <row r="368" spans="1:4" s="472" customFormat="1">
      <c r="A368" s="473"/>
      <c r="B368" s="473"/>
      <c r="C368" s="542"/>
      <c r="D368" s="473"/>
    </row>
    <row r="369" spans="1:4" s="472" customFormat="1">
      <c r="A369" s="473"/>
      <c r="B369" s="473"/>
      <c r="C369" s="542"/>
      <c r="D369" s="473"/>
    </row>
    <row r="370" spans="1:4" s="472" customFormat="1">
      <c r="A370" s="473"/>
      <c r="B370" s="473"/>
      <c r="C370" s="542"/>
      <c r="D370" s="473"/>
    </row>
    <row r="371" spans="1:4" s="472" customFormat="1">
      <c r="A371" s="473"/>
      <c r="B371" s="473"/>
      <c r="C371" s="542"/>
      <c r="D371" s="473"/>
    </row>
    <row r="372" spans="1:4" s="472" customFormat="1">
      <c r="A372" s="473"/>
      <c r="B372" s="473"/>
      <c r="C372" s="542"/>
      <c r="D372" s="473"/>
    </row>
    <row r="373" spans="1:4" s="472" customFormat="1">
      <c r="A373" s="473"/>
      <c r="B373" s="473"/>
      <c r="C373" s="542"/>
      <c r="D373" s="473"/>
    </row>
    <row r="374" spans="1:4" s="472" customFormat="1">
      <c r="A374" s="473"/>
      <c r="B374" s="473"/>
      <c r="C374" s="542"/>
      <c r="D374" s="473"/>
    </row>
    <row r="375" spans="1:4" s="472" customFormat="1">
      <c r="A375" s="473"/>
      <c r="B375" s="473"/>
      <c r="C375" s="542"/>
      <c r="D375" s="473"/>
    </row>
    <row r="376" spans="1:4" s="472" customFormat="1">
      <c r="A376" s="473"/>
      <c r="B376" s="473"/>
      <c r="C376" s="542"/>
      <c r="D376" s="473"/>
    </row>
    <row r="377" spans="1:4" s="472" customFormat="1">
      <c r="A377" s="473"/>
      <c r="B377" s="473"/>
      <c r="C377" s="542"/>
      <c r="D377" s="473"/>
    </row>
    <row r="378" spans="1:4" s="472" customFormat="1">
      <c r="A378" s="473"/>
      <c r="B378" s="473"/>
      <c r="C378" s="542"/>
      <c r="D378" s="473"/>
    </row>
    <row r="379" spans="1:4" s="472" customFormat="1">
      <c r="A379" s="473"/>
      <c r="B379" s="473"/>
      <c r="C379" s="542"/>
      <c r="D379" s="473"/>
    </row>
    <row r="380" spans="1:4" s="472" customFormat="1">
      <c r="A380" s="473"/>
      <c r="B380" s="473"/>
      <c r="C380" s="542"/>
      <c r="D380" s="473"/>
    </row>
    <row r="381" spans="1:4" s="472" customFormat="1">
      <c r="A381" s="473"/>
      <c r="B381" s="473"/>
      <c r="C381" s="542"/>
      <c r="D381" s="473"/>
    </row>
    <row r="382" spans="1:4" s="472" customFormat="1">
      <c r="A382" s="473"/>
      <c r="B382" s="473"/>
      <c r="C382" s="542"/>
      <c r="D382" s="473"/>
    </row>
    <row r="383" spans="1:4" s="472" customFormat="1">
      <c r="A383" s="473"/>
      <c r="B383" s="473"/>
      <c r="C383" s="542"/>
      <c r="D383" s="473"/>
    </row>
    <row r="384" spans="1:4" s="472" customFormat="1">
      <c r="A384" s="473"/>
      <c r="B384" s="473"/>
      <c r="C384" s="542"/>
      <c r="D384" s="473"/>
    </row>
    <row r="385" spans="1:4" s="472" customFormat="1">
      <c r="A385" s="473"/>
      <c r="B385" s="473"/>
      <c r="C385" s="542"/>
      <c r="D385" s="473"/>
    </row>
    <row r="386" spans="1:4" s="472" customFormat="1">
      <c r="A386" s="473"/>
      <c r="B386" s="473"/>
      <c r="C386" s="542"/>
      <c r="D386" s="473"/>
    </row>
    <row r="387" spans="1:4" s="472" customFormat="1">
      <c r="A387" s="473"/>
      <c r="B387" s="473"/>
      <c r="C387" s="542"/>
      <c r="D387" s="473"/>
    </row>
    <row r="388" spans="1:4" s="472" customFormat="1">
      <c r="A388" s="473"/>
      <c r="B388" s="473"/>
      <c r="C388" s="542"/>
      <c r="D388" s="473"/>
    </row>
    <row r="389" spans="1:4" s="472" customFormat="1">
      <c r="A389" s="473"/>
      <c r="B389" s="473"/>
      <c r="C389" s="542"/>
      <c r="D389" s="473"/>
    </row>
    <row r="390" spans="1:4" s="472" customFormat="1">
      <c r="A390" s="473"/>
      <c r="B390" s="473"/>
      <c r="C390" s="542"/>
      <c r="D390" s="473"/>
    </row>
    <row r="391" spans="1:4" s="472" customFormat="1">
      <c r="A391" s="473"/>
      <c r="B391" s="473"/>
      <c r="C391" s="542"/>
      <c r="D391" s="473"/>
    </row>
    <row r="392" spans="1:4" s="472" customFormat="1">
      <c r="A392" s="473"/>
      <c r="B392" s="473"/>
      <c r="C392" s="542"/>
      <c r="D392" s="473"/>
    </row>
    <row r="393" spans="1:4" s="472" customFormat="1">
      <c r="A393" s="473"/>
      <c r="B393" s="473"/>
      <c r="C393" s="542"/>
      <c r="D393" s="473"/>
    </row>
    <row r="394" spans="1:4" s="472" customFormat="1">
      <c r="A394" s="473"/>
      <c r="B394" s="473"/>
      <c r="C394" s="542"/>
      <c r="D394" s="473"/>
    </row>
    <row r="395" spans="1:4" s="472" customFormat="1">
      <c r="A395" s="473"/>
      <c r="B395" s="473"/>
      <c r="C395" s="542"/>
      <c r="D395" s="473"/>
    </row>
    <row r="396" spans="1:4" s="472" customFormat="1">
      <c r="A396" s="473"/>
      <c r="B396" s="473"/>
      <c r="C396" s="542"/>
      <c r="D396" s="473"/>
    </row>
    <row r="397" spans="1:4" s="472" customFormat="1">
      <c r="A397" s="473"/>
      <c r="B397" s="473"/>
      <c r="C397" s="542"/>
      <c r="D397" s="473"/>
    </row>
    <row r="398" spans="1:4" s="472" customFormat="1">
      <c r="A398" s="473"/>
      <c r="B398" s="473"/>
      <c r="C398" s="542"/>
      <c r="D398" s="473"/>
    </row>
    <row r="399" spans="1:4" s="472" customFormat="1">
      <c r="A399" s="473"/>
      <c r="B399" s="473"/>
      <c r="C399" s="542"/>
      <c r="D399" s="473"/>
    </row>
    <row r="400" spans="1:4" s="472" customFormat="1">
      <c r="A400" s="473"/>
      <c r="B400" s="473"/>
      <c r="C400" s="542"/>
      <c r="D400" s="473"/>
    </row>
    <row r="401" spans="1:4" s="472" customFormat="1">
      <c r="A401" s="473"/>
      <c r="B401" s="473"/>
      <c r="C401" s="542"/>
      <c r="D401" s="473"/>
    </row>
    <row r="402" spans="1:4" s="472" customFormat="1">
      <c r="A402" s="473"/>
      <c r="B402" s="473"/>
      <c r="C402" s="542"/>
      <c r="D402" s="473"/>
    </row>
    <row r="403" spans="1:4" s="472" customFormat="1">
      <c r="A403" s="473"/>
      <c r="B403" s="473"/>
      <c r="C403" s="542"/>
      <c r="D403" s="473"/>
    </row>
    <row r="404" spans="1:4" s="472" customFormat="1">
      <c r="A404" s="473"/>
      <c r="B404" s="473"/>
      <c r="C404" s="542"/>
      <c r="D404" s="473"/>
    </row>
    <row r="405" spans="1:4" s="472" customFormat="1">
      <c r="A405" s="473"/>
      <c r="B405" s="473"/>
      <c r="C405" s="542"/>
      <c r="D405" s="473"/>
    </row>
    <row r="406" spans="1:4" s="472" customFormat="1">
      <c r="A406" s="473"/>
      <c r="B406" s="473"/>
      <c r="C406" s="542"/>
      <c r="D406" s="473"/>
    </row>
    <row r="407" spans="1:4" s="472" customFormat="1">
      <c r="A407" s="473"/>
      <c r="B407" s="473"/>
      <c r="C407" s="542"/>
      <c r="D407" s="473"/>
    </row>
    <row r="408" spans="1:4" s="472" customFormat="1">
      <c r="A408" s="473"/>
      <c r="B408" s="473"/>
      <c r="C408" s="542"/>
      <c r="D408" s="473"/>
    </row>
    <row r="409" spans="1:4" s="472" customFormat="1">
      <c r="A409" s="473"/>
      <c r="B409" s="473"/>
      <c r="C409" s="542"/>
      <c r="D409" s="473"/>
    </row>
    <row r="410" spans="1:4" s="472" customFormat="1">
      <c r="A410" s="473"/>
      <c r="B410" s="473"/>
      <c r="C410" s="542"/>
      <c r="D410" s="473"/>
    </row>
    <row r="411" spans="1:4" s="472" customFormat="1">
      <c r="A411" s="473"/>
      <c r="B411" s="473"/>
      <c r="C411" s="542"/>
      <c r="D411" s="473"/>
    </row>
    <row r="412" spans="1:4" s="472" customFormat="1">
      <c r="A412" s="473"/>
      <c r="B412" s="473"/>
      <c r="C412" s="542"/>
      <c r="D412" s="473"/>
    </row>
    <row r="413" spans="1:4" s="472" customFormat="1">
      <c r="A413" s="473"/>
      <c r="B413" s="473"/>
      <c r="C413" s="542"/>
      <c r="D413" s="473"/>
    </row>
    <row r="414" spans="1:4" s="472" customFormat="1">
      <c r="A414" s="473"/>
      <c r="B414" s="473"/>
      <c r="C414" s="542"/>
      <c r="D414" s="473"/>
    </row>
    <row r="415" spans="1:4" s="472" customFormat="1">
      <c r="A415" s="473"/>
      <c r="B415" s="473"/>
      <c r="C415" s="542"/>
      <c r="D415" s="473"/>
    </row>
    <row r="416" spans="1:4" s="472" customFormat="1">
      <c r="A416" s="473"/>
      <c r="B416" s="473"/>
      <c r="C416" s="542"/>
      <c r="D416" s="473"/>
    </row>
    <row r="417" spans="1:4" s="472" customFormat="1">
      <c r="A417" s="473"/>
      <c r="B417" s="473"/>
      <c r="C417" s="542"/>
      <c r="D417" s="473"/>
    </row>
    <row r="418" spans="1:4" s="472" customFormat="1">
      <c r="A418" s="473"/>
      <c r="B418" s="473"/>
      <c r="C418" s="542"/>
      <c r="D418" s="473"/>
    </row>
    <row r="419" spans="1:4" s="472" customFormat="1">
      <c r="A419" s="473"/>
      <c r="B419" s="473"/>
      <c r="C419" s="542"/>
      <c r="D419" s="473"/>
    </row>
    <row r="420" spans="1:4" s="472" customFormat="1">
      <c r="A420" s="473"/>
      <c r="B420" s="473"/>
      <c r="C420" s="542"/>
      <c r="D420" s="473"/>
    </row>
    <row r="421" spans="1:4" s="472" customFormat="1">
      <c r="A421" s="473"/>
      <c r="B421" s="473"/>
      <c r="C421" s="542"/>
      <c r="D421" s="473"/>
    </row>
    <row r="422" spans="1:4" s="472" customFormat="1">
      <c r="A422" s="473"/>
      <c r="B422" s="473"/>
      <c r="C422" s="542"/>
      <c r="D422" s="473"/>
    </row>
    <row r="423" spans="1:4" s="472" customFormat="1">
      <c r="A423" s="473"/>
      <c r="B423" s="473"/>
      <c r="C423" s="542"/>
      <c r="D423" s="473"/>
    </row>
    <row r="424" spans="1:4" s="472" customFormat="1">
      <c r="A424" s="473"/>
      <c r="B424" s="473"/>
      <c r="C424" s="542"/>
      <c r="D424" s="473"/>
    </row>
    <row r="425" spans="1:4" s="472" customFormat="1">
      <c r="A425" s="473"/>
      <c r="B425" s="473"/>
      <c r="C425" s="542"/>
      <c r="D425" s="473"/>
    </row>
    <row r="426" spans="1:4" s="472" customFormat="1">
      <c r="A426" s="473"/>
      <c r="B426" s="473"/>
      <c r="C426" s="542"/>
      <c r="D426" s="473"/>
    </row>
    <row r="427" spans="1:4" s="472" customFormat="1">
      <c r="A427" s="473"/>
      <c r="B427" s="473"/>
      <c r="C427" s="542"/>
      <c r="D427" s="473"/>
    </row>
    <row r="428" spans="1:4" s="472" customFormat="1">
      <c r="A428" s="473"/>
      <c r="B428" s="473"/>
      <c r="C428" s="542"/>
      <c r="D428" s="473"/>
    </row>
    <row r="429" spans="1:4" s="472" customFormat="1">
      <c r="A429" s="473"/>
      <c r="B429" s="473"/>
      <c r="C429" s="542"/>
      <c r="D429" s="473"/>
    </row>
    <row r="430" spans="1:4" s="472" customFormat="1">
      <c r="A430" s="473"/>
      <c r="B430" s="473"/>
      <c r="C430" s="542"/>
      <c r="D430" s="473"/>
    </row>
    <row r="431" spans="1:4" s="472" customFormat="1">
      <c r="A431" s="473"/>
      <c r="B431" s="473"/>
      <c r="C431" s="542"/>
      <c r="D431" s="473"/>
    </row>
    <row r="432" spans="1:4" s="472" customFormat="1">
      <c r="A432" s="473"/>
      <c r="B432" s="473"/>
      <c r="C432" s="542"/>
      <c r="D432" s="473"/>
    </row>
    <row r="433" spans="1:4" s="472" customFormat="1">
      <c r="A433" s="473"/>
      <c r="B433" s="473"/>
      <c r="C433" s="542"/>
      <c r="D433" s="473"/>
    </row>
    <row r="434" spans="1:4" s="472" customFormat="1">
      <c r="A434" s="473"/>
      <c r="B434" s="473"/>
      <c r="C434" s="542"/>
      <c r="D434" s="473"/>
    </row>
    <row r="435" spans="1:4" s="472" customFormat="1">
      <c r="A435" s="473"/>
      <c r="B435" s="473"/>
      <c r="C435" s="542"/>
      <c r="D435" s="473"/>
    </row>
    <row r="436" spans="1:4" s="472" customFormat="1">
      <c r="A436" s="473"/>
      <c r="B436" s="473"/>
      <c r="C436" s="542"/>
      <c r="D436" s="473"/>
    </row>
    <row r="437" spans="1:4" s="472" customFormat="1">
      <c r="A437" s="473"/>
      <c r="B437" s="473"/>
      <c r="C437" s="542"/>
      <c r="D437" s="473"/>
    </row>
    <row r="438" spans="1:4" s="472" customFormat="1">
      <c r="A438" s="473"/>
      <c r="B438" s="473"/>
      <c r="C438" s="542"/>
      <c r="D438" s="473"/>
    </row>
    <row r="439" spans="1:4" s="472" customFormat="1">
      <c r="A439" s="473"/>
      <c r="B439" s="473"/>
      <c r="C439" s="542"/>
      <c r="D439" s="473"/>
    </row>
    <row r="440" spans="1:4" s="472" customFormat="1">
      <c r="A440" s="473"/>
      <c r="B440" s="473"/>
      <c r="C440" s="542"/>
      <c r="D440" s="473"/>
    </row>
    <row r="441" spans="1:4" s="472" customFormat="1">
      <c r="A441" s="473"/>
      <c r="B441" s="473"/>
      <c r="C441" s="542"/>
      <c r="D441" s="473"/>
    </row>
    <row r="442" spans="1:4" s="472" customFormat="1">
      <c r="A442" s="473"/>
      <c r="B442" s="473"/>
      <c r="C442" s="542"/>
      <c r="D442" s="473"/>
    </row>
    <row r="443" spans="1:4" s="472" customFormat="1">
      <c r="A443" s="473"/>
      <c r="B443" s="473"/>
      <c r="C443" s="542"/>
      <c r="D443" s="473"/>
    </row>
    <row r="444" spans="1:4" s="472" customFormat="1">
      <c r="A444" s="473"/>
      <c r="B444" s="473"/>
      <c r="C444" s="542"/>
      <c r="D444" s="473"/>
    </row>
    <row r="445" spans="1:4" s="472" customFormat="1">
      <c r="A445" s="473"/>
      <c r="B445" s="473"/>
      <c r="C445" s="542"/>
      <c r="D445" s="473"/>
    </row>
    <row r="446" spans="1:4" s="472" customFormat="1">
      <c r="A446" s="473"/>
      <c r="B446" s="473"/>
      <c r="C446" s="542"/>
      <c r="D446" s="473"/>
    </row>
    <row r="447" spans="1:4" s="472" customFormat="1">
      <c r="A447" s="473"/>
      <c r="B447" s="473"/>
      <c r="C447" s="542"/>
      <c r="D447" s="473"/>
    </row>
    <row r="448" spans="1:4" s="472" customFormat="1">
      <c r="A448" s="473"/>
      <c r="B448" s="473"/>
      <c r="C448" s="542"/>
      <c r="D448" s="473"/>
    </row>
    <row r="449" spans="1:4" s="472" customFormat="1">
      <c r="A449" s="473"/>
      <c r="B449" s="473"/>
      <c r="C449" s="542"/>
      <c r="D449" s="473"/>
    </row>
    <row r="450" spans="1:4" s="472" customFormat="1">
      <c r="A450" s="473"/>
      <c r="B450" s="473"/>
      <c r="C450" s="542"/>
      <c r="D450" s="473"/>
    </row>
    <row r="451" spans="1:4" s="472" customFormat="1">
      <c r="A451" s="473"/>
      <c r="B451" s="473"/>
      <c r="C451" s="542"/>
      <c r="D451" s="473"/>
    </row>
    <row r="452" spans="1:4" s="472" customFormat="1">
      <c r="A452" s="473"/>
      <c r="B452" s="473"/>
      <c r="C452" s="542"/>
      <c r="D452" s="473"/>
    </row>
    <row r="453" spans="1:4" s="472" customFormat="1">
      <c r="A453" s="473"/>
      <c r="B453" s="473"/>
      <c r="C453" s="542"/>
      <c r="D453" s="473"/>
    </row>
    <row r="454" spans="1:4" s="472" customFormat="1">
      <c r="A454" s="473"/>
      <c r="B454" s="473"/>
      <c r="C454" s="542"/>
      <c r="D454" s="473"/>
    </row>
    <row r="455" spans="1:4" s="472" customFormat="1">
      <c r="A455" s="473"/>
      <c r="B455" s="473"/>
      <c r="C455" s="542"/>
      <c r="D455" s="473"/>
    </row>
    <row r="456" spans="1:4" s="472" customFormat="1">
      <c r="A456" s="473"/>
      <c r="B456" s="473"/>
      <c r="C456" s="542"/>
      <c r="D456" s="473"/>
    </row>
    <row r="457" spans="1:4" s="472" customFormat="1">
      <c r="A457" s="473"/>
      <c r="B457" s="473"/>
      <c r="C457" s="542"/>
      <c r="D457" s="473"/>
    </row>
    <row r="458" spans="1:4" s="472" customFormat="1">
      <c r="A458" s="473"/>
      <c r="B458" s="473"/>
      <c r="C458" s="542"/>
      <c r="D458" s="473"/>
    </row>
    <row r="459" spans="1:4" s="472" customFormat="1">
      <c r="A459" s="473"/>
      <c r="B459" s="473"/>
      <c r="C459" s="542"/>
      <c r="D459" s="473"/>
    </row>
    <row r="460" spans="1:4" s="472" customFormat="1">
      <c r="A460" s="473"/>
      <c r="B460" s="473"/>
      <c r="C460" s="542"/>
      <c r="D460" s="473"/>
    </row>
    <row r="461" spans="1:4" s="472" customFormat="1">
      <c r="A461" s="473"/>
      <c r="B461" s="473"/>
      <c r="C461" s="542"/>
      <c r="D461" s="473"/>
    </row>
    <row r="462" spans="1:4" s="472" customFormat="1">
      <c r="A462" s="473"/>
      <c r="B462" s="473"/>
      <c r="C462" s="542"/>
      <c r="D462" s="473"/>
    </row>
    <row r="463" spans="1:4" s="472" customFormat="1">
      <c r="A463" s="473"/>
      <c r="B463" s="473"/>
      <c r="C463" s="542"/>
      <c r="D463" s="473"/>
    </row>
    <row r="464" spans="1:4" s="472" customFormat="1">
      <c r="A464" s="473"/>
      <c r="B464" s="473"/>
      <c r="C464" s="542"/>
      <c r="D464" s="473"/>
    </row>
    <row r="465" spans="1:4" s="472" customFormat="1">
      <c r="A465" s="473"/>
      <c r="B465" s="473"/>
      <c r="C465" s="542"/>
      <c r="D465" s="473"/>
    </row>
    <row r="466" spans="1:4" s="472" customFormat="1">
      <c r="A466" s="473"/>
      <c r="B466" s="473"/>
      <c r="C466" s="542"/>
      <c r="D466" s="473"/>
    </row>
    <row r="467" spans="1:4" s="472" customFormat="1">
      <c r="A467" s="473"/>
      <c r="B467" s="473"/>
      <c r="C467" s="542"/>
      <c r="D467" s="473"/>
    </row>
    <row r="468" spans="1:4" s="472" customFormat="1">
      <c r="A468" s="473"/>
      <c r="B468" s="473"/>
      <c r="C468" s="542"/>
      <c r="D468" s="473"/>
    </row>
    <row r="469" spans="1:4" s="472" customFormat="1">
      <c r="A469" s="473"/>
      <c r="B469" s="473"/>
      <c r="C469" s="542"/>
      <c r="D469" s="473"/>
    </row>
    <row r="470" spans="1:4" s="472" customFormat="1">
      <c r="A470" s="473"/>
      <c r="B470" s="473"/>
      <c r="C470" s="542"/>
      <c r="D470" s="473"/>
    </row>
    <row r="471" spans="1:4" s="472" customFormat="1">
      <c r="A471" s="473"/>
      <c r="B471" s="473"/>
      <c r="C471" s="542"/>
      <c r="D471" s="473"/>
    </row>
    <row r="472" spans="1:4" s="472" customFormat="1">
      <c r="A472" s="473"/>
      <c r="B472" s="473"/>
      <c r="C472" s="542"/>
      <c r="D472" s="473"/>
    </row>
    <row r="473" spans="1:4" s="472" customFormat="1">
      <c r="A473" s="473"/>
      <c r="B473" s="473"/>
      <c r="C473" s="542"/>
      <c r="D473" s="473"/>
    </row>
    <row r="474" spans="1:4" s="472" customFormat="1">
      <c r="A474" s="473"/>
      <c r="B474" s="473"/>
      <c r="C474" s="542"/>
      <c r="D474" s="473"/>
    </row>
    <row r="475" spans="1:4" s="472" customFormat="1">
      <c r="A475" s="473"/>
      <c r="B475" s="473"/>
      <c r="C475" s="542"/>
      <c r="D475" s="473"/>
    </row>
    <row r="476" spans="1:4" s="472" customFormat="1">
      <c r="A476" s="473"/>
      <c r="B476" s="473"/>
      <c r="C476" s="542"/>
      <c r="D476" s="473"/>
    </row>
    <row r="477" spans="1:4" s="472" customFormat="1">
      <c r="A477" s="473"/>
      <c r="B477" s="473"/>
      <c r="C477" s="542"/>
      <c r="D477" s="473"/>
    </row>
    <row r="478" spans="1:4" s="472" customFormat="1">
      <c r="A478" s="473"/>
      <c r="B478" s="473"/>
      <c r="C478" s="542"/>
      <c r="D478" s="473"/>
    </row>
    <row r="479" spans="1:4" s="472" customFormat="1">
      <c r="A479" s="473"/>
      <c r="B479" s="473"/>
      <c r="C479" s="542"/>
      <c r="D479" s="473"/>
    </row>
    <row r="480" spans="1:4" s="472" customFormat="1">
      <c r="A480" s="473"/>
      <c r="B480" s="473"/>
      <c r="C480" s="542"/>
      <c r="D480" s="473"/>
    </row>
    <row r="481" spans="1:4" s="472" customFormat="1">
      <c r="A481" s="473"/>
      <c r="B481" s="473"/>
      <c r="C481" s="542"/>
      <c r="D481" s="473"/>
    </row>
    <row r="482" spans="1:4" s="472" customFormat="1">
      <c r="A482" s="473"/>
      <c r="B482" s="473"/>
      <c r="C482" s="542"/>
      <c r="D482" s="473"/>
    </row>
    <row r="483" spans="1:4" s="472" customFormat="1">
      <c r="A483" s="473"/>
      <c r="B483" s="473"/>
      <c r="C483" s="542"/>
      <c r="D483" s="473"/>
    </row>
    <row r="484" spans="1:4" s="472" customFormat="1">
      <c r="A484" s="473"/>
      <c r="B484" s="473"/>
      <c r="C484" s="542"/>
      <c r="D484" s="473"/>
    </row>
    <row r="485" spans="1:4" s="472" customFormat="1">
      <c r="A485" s="473"/>
      <c r="B485" s="473"/>
      <c r="C485" s="542"/>
      <c r="D485" s="473"/>
    </row>
    <row r="486" spans="1:4" s="472" customFormat="1">
      <c r="A486" s="473"/>
      <c r="B486" s="473"/>
      <c r="C486" s="542"/>
      <c r="D486" s="473"/>
    </row>
    <row r="487" spans="1:4" s="472" customFormat="1">
      <c r="A487" s="473"/>
      <c r="B487" s="473"/>
      <c r="C487" s="542"/>
      <c r="D487" s="473"/>
    </row>
    <row r="488" spans="1:4" s="472" customFormat="1">
      <c r="A488" s="473"/>
      <c r="B488" s="473"/>
      <c r="C488" s="542"/>
      <c r="D488" s="473"/>
    </row>
    <row r="489" spans="1:4" s="472" customFormat="1">
      <c r="A489" s="473"/>
      <c r="B489" s="473"/>
      <c r="C489" s="542"/>
      <c r="D489" s="473"/>
    </row>
    <row r="490" spans="1:4" s="472" customFormat="1">
      <c r="A490" s="473"/>
      <c r="B490" s="473"/>
      <c r="C490" s="542"/>
      <c r="D490" s="473"/>
    </row>
    <row r="491" spans="1:4" s="472" customFormat="1">
      <c r="A491" s="473"/>
      <c r="B491" s="473"/>
      <c r="C491" s="542"/>
      <c r="D491" s="473"/>
    </row>
    <row r="492" spans="1:4" s="472" customFormat="1">
      <c r="A492" s="473"/>
      <c r="B492" s="473"/>
      <c r="C492" s="542"/>
      <c r="D492" s="473"/>
    </row>
    <row r="493" spans="1:4" s="472" customFormat="1">
      <c r="A493" s="473"/>
      <c r="B493" s="473"/>
      <c r="C493" s="542"/>
      <c r="D493" s="473"/>
    </row>
    <row r="494" spans="1:4" s="472" customFormat="1">
      <c r="A494" s="473"/>
      <c r="B494" s="473"/>
      <c r="C494" s="542"/>
      <c r="D494" s="473"/>
    </row>
    <row r="495" spans="1:4" s="472" customFormat="1">
      <c r="A495" s="473"/>
      <c r="B495" s="473"/>
      <c r="C495" s="542"/>
      <c r="D495" s="473"/>
    </row>
    <row r="496" spans="1:4" s="472" customFormat="1">
      <c r="A496" s="473"/>
      <c r="B496" s="473"/>
      <c r="C496" s="542"/>
      <c r="D496" s="473"/>
    </row>
    <row r="497" spans="1:4" s="472" customFormat="1">
      <c r="A497" s="473"/>
      <c r="B497" s="473"/>
      <c r="C497" s="542"/>
      <c r="D497" s="473"/>
    </row>
    <row r="498" spans="1:4" s="472" customFormat="1">
      <c r="A498" s="473"/>
      <c r="B498" s="473"/>
      <c r="C498" s="542"/>
      <c r="D498" s="473"/>
    </row>
    <row r="499" spans="1:4" s="472" customFormat="1">
      <c r="A499" s="473"/>
      <c r="B499" s="473"/>
      <c r="C499" s="542"/>
      <c r="D499" s="473"/>
    </row>
    <row r="500" spans="1:4" s="472" customFormat="1">
      <c r="A500" s="473"/>
      <c r="B500" s="473"/>
      <c r="C500" s="542"/>
      <c r="D500" s="473"/>
    </row>
    <row r="501" spans="1:4" s="472" customFormat="1">
      <c r="A501" s="473"/>
      <c r="B501" s="473"/>
      <c r="C501" s="542"/>
      <c r="D501" s="473"/>
    </row>
    <row r="502" spans="1:4" s="472" customFormat="1">
      <c r="A502" s="473"/>
      <c r="B502" s="473"/>
      <c r="C502" s="542"/>
      <c r="D502" s="473"/>
    </row>
    <row r="503" spans="1:4" s="472" customFormat="1">
      <c r="A503" s="473"/>
      <c r="B503" s="473"/>
      <c r="C503" s="542"/>
      <c r="D503" s="473"/>
    </row>
    <row r="504" spans="1:4" s="472" customFormat="1">
      <c r="A504" s="473"/>
      <c r="B504" s="473"/>
      <c r="C504" s="542"/>
      <c r="D504" s="473"/>
    </row>
    <row r="505" spans="1:4" s="472" customFormat="1">
      <c r="A505" s="473"/>
      <c r="B505" s="473"/>
      <c r="C505" s="542"/>
      <c r="D505" s="473"/>
    </row>
    <row r="506" spans="1:4" s="472" customFormat="1">
      <c r="A506" s="473"/>
      <c r="B506" s="473"/>
      <c r="C506" s="542"/>
      <c r="D506" s="473"/>
    </row>
    <row r="507" spans="1:4" s="472" customFormat="1">
      <c r="A507" s="473"/>
      <c r="B507" s="473"/>
      <c r="C507" s="542"/>
      <c r="D507" s="473"/>
    </row>
    <row r="508" spans="1:4" s="472" customFormat="1">
      <c r="A508" s="473"/>
      <c r="B508" s="473"/>
      <c r="C508" s="542"/>
      <c r="D508" s="473"/>
    </row>
    <row r="509" spans="1:4" s="472" customFormat="1">
      <c r="A509" s="473"/>
      <c r="B509" s="473"/>
      <c r="C509" s="542"/>
      <c r="D509" s="473"/>
    </row>
    <row r="510" spans="1:4" s="472" customFormat="1">
      <c r="A510" s="473"/>
      <c r="B510" s="473"/>
      <c r="C510" s="542"/>
      <c r="D510" s="473"/>
    </row>
    <row r="511" spans="1:4" s="472" customFormat="1">
      <c r="A511" s="473"/>
      <c r="B511" s="473"/>
      <c r="C511" s="542"/>
      <c r="D511" s="473"/>
    </row>
    <row r="512" spans="1:4" s="472" customFormat="1">
      <c r="A512" s="473"/>
      <c r="B512" s="473"/>
      <c r="C512" s="542"/>
      <c r="D512" s="473"/>
    </row>
    <row r="513" spans="1:4" s="472" customFormat="1">
      <c r="A513" s="473"/>
      <c r="B513" s="473"/>
      <c r="C513" s="542"/>
      <c r="D513" s="473"/>
    </row>
    <row r="514" spans="1:4" s="472" customFormat="1">
      <c r="A514" s="473"/>
      <c r="B514" s="473"/>
      <c r="C514" s="542"/>
      <c r="D514" s="473"/>
    </row>
    <row r="515" spans="1:4" s="472" customFormat="1">
      <c r="A515" s="473"/>
      <c r="B515" s="473"/>
      <c r="C515" s="542"/>
      <c r="D515" s="473"/>
    </row>
    <row r="516" spans="1:4" s="472" customFormat="1">
      <c r="A516" s="473"/>
      <c r="B516" s="473"/>
      <c r="C516" s="542"/>
      <c r="D516" s="473"/>
    </row>
    <row r="517" spans="1:4" s="472" customFormat="1">
      <c r="A517" s="473"/>
      <c r="B517" s="473"/>
      <c r="C517" s="542"/>
      <c r="D517" s="473"/>
    </row>
    <row r="518" spans="1:4" s="472" customFormat="1">
      <c r="A518" s="473"/>
      <c r="B518" s="473"/>
      <c r="C518" s="542"/>
      <c r="D518" s="473"/>
    </row>
    <row r="519" spans="1:4" s="472" customFormat="1">
      <c r="A519" s="473"/>
      <c r="B519" s="473"/>
      <c r="C519" s="542"/>
      <c r="D519" s="473"/>
    </row>
    <row r="520" spans="1:4" s="472" customFormat="1">
      <c r="A520" s="473"/>
      <c r="B520" s="473"/>
      <c r="C520" s="542"/>
      <c r="D520" s="473"/>
    </row>
    <row r="521" spans="1:4" s="472" customFormat="1">
      <c r="A521" s="473"/>
      <c r="B521" s="473"/>
      <c r="C521" s="542"/>
      <c r="D521" s="473"/>
    </row>
    <row r="522" spans="1:4" s="472" customFormat="1">
      <c r="A522" s="473"/>
      <c r="B522" s="473"/>
      <c r="C522" s="542"/>
      <c r="D522" s="473"/>
    </row>
    <row r="523" spans="1:4" s="472" customFormat="1">
      <c r="A523" s="473"/>
      <c r="B523" s="473"/>
      <c r="C523" s="542"/>
      <c r="D523" s="473"/>
    </row>
    <row r="524" spans="1:4" s="472" customFormat="1">
      <c r="A524" s="473"/>
      <c r="B524" s="473"/>
      <c r="C524" s="542"/>
      <c r="D524" s="473"/>
    </row>
    <row r="525" spans="1:4" s="472" customFormat="1">
      <c r="A525" s="473"/>
      <c r="B525" s="473"/>
      <c r="C525" s="542"/>
      <c r="D525" s="473"/>
    </row>
    <row r="526" spans="1:4" s="472" customFormat="1">
      <c r="A526" s="473"/>
      <c r="B526" s="473"/>
      <c r="C526" s="542"/>
      <c r="D526" s="473"/>
    </row>
    <row r="527" spans="1:4" s="472" customFormat="1">
      <c r="A527" s="473"/>
      <c r="B527" s="473"/>
      <c r="C527" s="542"/>
      <c r="D527" s="473"/>
    </row>
    <row r="528" spans="1:4" s="472" customFormat="1">
      <c r="A528" s="473"/>
      <c r="B528" s="473"/>
      <c r="C528" s="542"/>
      <c r="D528" s="473"/>
    </row>
    <row r="529" spans="1:4" s="472" customFormat="1">
      <c r="A529" s="473"/>
      <c r="B529" s="473"/>
      <c r="C529" s="542"/>
      <c r="D529" s="473"/>
    </row>
    <row r="530" spans="1:4" s="472" customFormat="1">
      <c r="A530" s="473"/>
      <c r="B530" s="473"/>
      <c r="C530" s="542"/>
      <c r="D530" s="473"/>
    </row>
    <row r="531" spans="1:4" s="472" customFormat="1">
      <c r="A531" s="473"/>
      <c r="B531" s="473"/>
      <c r="C531" s="542"/>
      <c r="D531" s="473"/>
    </row>
    <row r="532" spans="1:4" s="472" customFormat="1">
      <c r="A532" s="473"/>
      <c r="B532" s="473"/>
      <c r="C532" s="542"/>
      <c r="D532" s="473"/>
    </row>
    <row r="533" spans="1:4" s="472" customFormat="1">
      <c r="A533" s="473"/>
      <c r="B533" s="473"/>
      <c r="C533" s="542"/>
      <c r="D533" s="473"/>
    </row>
    <row r="534" spans="1:4" s="472" customFormat="1">
      <c r="A534" s="473"/>
      <c r="B534" s="473"/>
      <c r="C534" s="542"/>
      <c r="D534" s="473"/>
    </row>
    <row r="535" spans="1:4" s="472" customFormat="1">
      <c r="A535" s="473"/>
      <c r="B535" s="473"/>
      <c r="C535" s="542"/>
      <c r="D535" s="473"/>
    </row>
    <row r="536" spans="1:4" s="472" customFormat="1">
      <c r="A536" s="473"/>
      <c r="B536" s="473"/>
      <c r="C536" s="542"/>
      <c r="D536" s="473"/>
    </row>
    <row r="537" spans="1:4" s="472" customFormat="1">
      <c r="A537" s="473"/>
      <c r="B537" s="473"/>
      <c r="C537" s="542"/>
      <c r="D537" s="473"/>
    </row>
    <row r="538" spans="1:4" s="472" customFormat="1">
      <c r="A538" s="473"/>
      <c r="B538" s="473"/>
      <c r="C538" s="542"/>
      <c r="D538" s="473"/>
    </row>
    <row r="539" spans="1:4" s="472" customFormat="1">
      <c r="A539" s="473"/>
      <c r="B539" s="473"/>
      <c r="C539" s="542"/>
      <c r="D539" s="473"/>
    </row>
    <row r="540" spans="1:4" s="472" customFormat="1">
      <c r="A540" s="473"/>
      <c r="B540" s="473"/>
      <c r="C540" s="542"/>
      <c r="D540" s="473"/>
    </row>
    <row r="541" spans="1:4" s="472" customFormat="1">
      <c r="A541" s="473"/>
      <c r="B541" s="473"/>
      <c r="C541" s="542"/>
      <c r="D541" s="473"/>
    </row>
    <row r="542" spans="1:4" s="472" customFormat="1">
      <c r="A542" s="473"/>
      <c r="B542" s="473"/>
      <c r="C542" s="542"/>
      <c r="D542" s="473"/>
    </row>
    <row r="543" spans="1:4" s="472" customFormat="1">
      <c r="A543" s="473"/>
      <c r="B543" s="473"/>
      <c r="C543" s="542"/>
      <c r="D543" s="473"/>
    </row>
    <row r="544" spans="1:4" s="472" customFormat="1">
      <c r="A544" s="473"/>
      <c r="B544" s="473"/>
      <c r="C544" s="542"/>
      <c r="D544" s="473"/>
    </row>
    <row r="545" spans="1:4" s="472" customFormat="1">
      <c r="A545" s="473"/>
      <c r="B545" s="473"/>
      <c r="C545" s="542"/>
      <c r="D545" s="473"/>
    </row>
    <row r="546" spans="1:4" s="472" customFormat="1">
      <c r="A546" s="473"/>
      <c r="B546" s="473"/>
      <c r="C546" s="542"/>
      <c r="D546" s="473"/>
    </row>
    <row r="547" spans="1:4" s="472" customFormat="1">
      <c r="A547" s="473"/>
      <c r="B547" s="473"/>
      <c r="C547" s="542"/>
      <c r="D547" s="473"/>
    </row>
    <row r="548" spans="1:4" s="472" customFormat="1">
      <c r="A548" s="473"/>
      <c r="B548" s="473"/>
      <c r="C548" s="542"/>
      <c r="D548" s="473"/>
    </row>
    <row r="549" spans="1:4" s="472" customFormat="1">
      <c r="A549" s="473"/>
      <c r="B549" s="473"/>
      <c r="C549" s="542"/>
      <c r="D549" s="473"/>
    </row>
    <row r="550" spans="1:4" s="472" customFormat="1">
      <c r="A550" s="473"/>
      <c r="B550" s="473"/>
      <c r="C550" s="542"/>
      <c r="D550" s="473"/>
    </row>
    <row r="551" spans="1:4" s="472" customFormat="1">
      <c r="A551" s="473"/>
      <c r="B551" s="473"/>
      <c r="C551" s="542"/>
      <c r="D551" s="473"/>
    </row>
    <row r="552" spans="1:4" s="472" customFormat="1">
      <c r="A552" s="473"/>
      <c r="B552" s="473"/>
      <c r="C552" s="542"/>
      <c r="D552" s="473"/>
    </row>
    <row r="553" spans="1:4" s="472" customFormat="1">
      <c r="A553" s="473"/>
      <c r="B553" s="473"/>
      <c r="C553" s="542"/>
      <c r="D553" s="473"/>
    </row>
    <row r="554" spans="1:4" s="472" customFormat="1">
      <c r="A554" s="473"/>
      <c r="B554" s="473"/>
      <c r="C554" s="542"/>
      <c r="D554" s="473"/>
    </row>
    <row r="555" spans="1:4" s="472" customFormat="1">
      <c r="A555" s="473"/>
      <c r="B555" s="473"/>
      <c r="C555" s="542"/>
      <c r="D555" s="473"/>
    </row>
    <row r="556" spans="1:4" s="472" customFormat="1">
      <c r="A556" s="473"/>
      <c r="B556" s="473"/>
      <c r="C556" s="542"/>
      <c r="D556" s="473"/>
    </row>
    <row r="557" spans="1:4" s="472" customFormat="1">
      <c r="A557" s="473"/>
      <c r="B557" s="473"/>
      <c r="C557" s="542"/>
      <c r="D557" s="473"/>
    </row>
    <row r="558" spans="1:4" s="472" customFormat="1">
      <c r="A558" s="473"/>
      <c r="B558" s="473"/>
      <c r="C558" s="542"/>
      <c r="D558" s="473"/>
    </row>
    <row r="559" spans="1:4" s="472" customFormat="1">
      <c r="A559" s="473"/>
      <c r="B559" s="473"/>
      <c r="C559" s="542"/>
      <c r="D559" s="473"/>
    </row>
    <row r="560" spans="1:4" s="472" customFormat="1">
      <c r="A560" s="473"/>
      <c r="B560" s="473"/>
      <c r="C560" s="542"/>
      <c r="D560" s="473"/>
    </row>
    <row r="561" spans="1:4" s="472" customFormat="1">
      <c r="A561" s="473"/>
      <c r="B561" s="473"/>
      <c r="C561" s="542"/>
      <c r="D561" s="473"/>
    </row>
    <row r="562" spans="1:4" s="472" customFormat="1">
      <c r="A562" s="473"/>
      <c r="B562" s="473"/>
      <c r="C562" s="542"/>
      <c r="D562" s="473"/>
    </row>
    <row r="563" spans="1:4" s="472" customFormat="1">
      <c r="A563" s="473"/>
      <c r="B563" s="473"/>
      <c r="C563" s="542"/>
      <c r="D563" s="473"/>
    </row>
    <row r="564" spans="1:4" s="472" customFormat="1">
      <c r="A564" s="473"/>
      <c r="B564" s="473"/>
      <c r="C564" s="542"/>
      <c r="D564" s="473"/>
    </row>
    <row r="565" spans="1:4" s="472" customFormat="1">
      <c r="A565" s="473"/>
      <c r="B565" s="473"/>
      <c r="C565" s="542"/>
      <c r="D565" s="473"/>
    </row>
    <row r="566" spans="1:4" s="472" customFormat="1">
      <c r="A566" s="473"/>
      <c r="B566" s="473"/>
      <c r="C566" s="542"/>
      <c r="D566" s="473"/>
    </row>
    <row r="567" spans="1:4" s="472" customFormat="1">
      <c r="A567" s="473"/>
      <c r="B567" s="473"/>
      <c r="C567" s="542"/>
      <c r="D567" s="473"/>
    </row>
    <row r="568" spans="1:4" s="472" customFormat="1">
      <c r="A568" s="473"/>
      <c r="B568" s="473"/>
      <c r="C568" s="542"/>
      <c r="D568" s="473"/>
    </row>
    <row r="569" spans="1:4" s="472" customFormat="1">
      <c r="A569" s="473"/>
      <c r="B569" s="473"/>
      <c r="C569" s="542"/>
      <c r="D569" s="473"/>
    </row>
    <row r="570" spans="1:4" s="472" customFormat="1">
      <c r="A570" s="473"/>
      <c r="B570" s="473"/>
      <c r="C570" s="542"/>
      <c r="D570" s="473"/>
    </row>
    <row r="571" spans="1:4" s="472" customFormat="1">
      <c r="A571" s="473"/>
      <c r="B571" s="473"/>
      <c r="C571" s="542"/>
      <c r="D571" s="473"/>
    </row>
    <row r="572" spans="1:4" s="472" customFormat="1">
      <c r="A572" s="473"/>
      <c r="B572" s="473"/>
      <c r="C572" s="542"/>
      <c r="D572" s="473"/>
    </row>
    <row r="573" spans="1:4" s="472" customFormat="1">
      <c r="A573" s="473"/>
      <c r="B573" s="473"/>
      <c r="C573" s="542"/>
      <c r="D573" s="473"/>
    </row>
    <row r="574" spans="1:4" s="472" customFormat="1">
      <c r="A574" s="473"/>
      <c r="B574" s="473"/>
      <c r="C574" s="542"/>
      <c r="D574" s="473"/>
    </row>
    <row r="575" spans="1:4" s="472" customFormat="1">
      <c r="A575" s="473"/>
      <c r="B575" s="473"/>
      <c r="C575" s="542"/>
      <c r="D575" s="473"/>
    </row>
    <row r="576" spans="1:4" s="472" customFormat="1">
      <c r="A576" s="473"/>
      <c r="B576" s="473"/>
      <c r="C576" s="542"/>
      <c r="D576" s="473"/>
    </row>
    <row r="577" spans="1:4" s="472" customFormat="1">
      <c r="A577" s="473"/>
      <c r="B577" s="473"/>
      <c r="C577" s="542"/>
      <c r="D577" s="473"/>
    </row>
    <row r="578" spans="1:4" s="472" customFormat="1">
      <c r="A578" s="473"/>
      <c r="B578" s="473"/>
      <c r="C578" s="542"/>
      <c r="D578" s="473"/>
    </row>
    <row r="579" spans="1:4" s="472" customFormat="1">
      <c r="A579" s="473"/>
      <c r="B579" s="473"/>
      <c r="C579" s="542"/>
      <c r="D579" s="473"/>
    </row>
    <row r="580" spans="1:4" s="472" customFormat="1">
      <c r="A580" s="473"/>
      <c r="B580" s="473"/>
      <c r="C580" s="542"/>
      <c r="D580" s="473"/>
    </row>
    <row r="581" spans="1:4" s="472" customFormat="1">
      <c r="A581" s="473"/>
      <c r="B581" s="473"/>
      <c r="C581" s="542"/>
      <c r="D581" s="473"/>
    </row>
    <row r="582" spans="1:4" s="472" customFormat="1">
      <c r="A582" s="473"/>
      <c r="B582" s="473"/>
      <c r="C582" s="542"/>
      <c r="D582" s="473"/>
    </row>
    <row r="583" spans="1:4" s="472" customFormat="1">
      <c r="A583" s="473"/>
      <c r="B583" s="473"/>
      <c r="C583" s="542"/>
      <c r="D583" s="473"/>
    </row>
    <row r="584" spans="1:4" s="472" customFormat="1">
      <c r="A584" s="473"/>
      <c r="B584" s="473"/>
      <c r="C584" s="542"/>
      <c r="D584" s="473"/>
    </row>
    <row r="585" spans="1:4" s="472" customFormat="1">
      <c r="A585" s="473"/>
      <c r="B585" s="473"/>
      <c r="C585" s="542"/>
      <c r="D585" s="473"/>
    </row>
    <row r="586" spans="1:4" s="472" customFormat="1">
      <c r="A586" s="473"/>
      <c r="B586" s="473"/>
      <c r="C586" s="542"/>
      <c r="D586" s="473"/>
    </row>
    <row r="587" spans="1:4" s="472" customFormat="1">
      <c r="A587" s="473"/>
      <c r="B587" s="473"/>
      <c r="C587" s="542"/>
      <c r="D587" s="473"/>
    </row>
    <row r="588" spans="1:4" s="472" customFormat="1">
      <c r="A588" s="473"/>
      <c r="B588" s="473"/>
      <c r="C588" s="542"/>
      <c r="D588" s="473"/>
    </row>
    <row r="589" spans="1:4" s="472" customFormat="1">
      <c r="A589" s="473"/>
      <c r="B589" s="473"/>
      <c r="C589" s="542"/>
      <c r="D589" s="473"/>
    </row>
    <row r="590" spans="1:4" s="472" customFormat="1">
      <c r="A590" s="473"/>
      <c r="B590" s="473"/>
      <c r="C590" s="542"/>
      <c r="D590" s="473"/>
    </row>
    <row r="591" spans="1:4" s="472" customFormat="1">
      <c r="A591" s="473"/>
      <c r="B591" s="473"/>
      <c r="C591" s="542"/>
      <c r="D591" s="473"/>
    </row>
    <row r="592" spans="1:4" s="472" customFormat="1">
      <c r="A592" s="473"/>
      <c r="B592" s="473"/>
      <c r="C592" s="542"/>
      <c r="D592" s="473"/>
    </row>
    <row r="593" spans="1:4" s="472" customFormat="1">
      <c r="A593" s="473"/>
      <c r="B593" s="473"/>
      <c r="C593" s="542"/>
      <c r="D593" s="473"/>
    </row>
    <row r="594" spans="1:4" s="472" customFormat="1">
      <c r="A594" s="473"/>
      <c r="B594" s="473"/>
      <c r="C594" s="542"/>
      <c r="D594" s="473"/>
    </row>
    <row r="595" spans="1:4" s="472" customFormat="1">
      <c r="A595" s="473"/>
      <c r="B595" s="473"/>
      <c r="C595" s="542"/>
      <c r="D595" s="473"/>
    </row>
    <row r="596" spans="1:4" s="472" customFormat="1">
      <c r="A596" s="473"/>
      <c r="B596" s="473"/>
      <c r="C596" s="542"/>
      <c r="D596" s="473"/>
    </row>
    <row r="597" spans="1:4" s="472" customFormat="1">
      <c r="A597" s="473"/>
      <c r="B597" s="473"/>
      <c r="C597" s="542"/>
      <c r="D597" s="473"/>
    </row>
    <row r="598" spans="1:4" s="472" customFormat="1">
      <c r="A598" s="473"/>
      <c r="B598" s="473"/>
      <c r="C598" s="542"/>
      <c r="D598" s="473"/>
    </row>
    <row r="599" spans="1:4" s="472" customFormat="1">
      <c r="A599" s="473"/>
      <c r="B599" s="473"/>
      <c r="C599" s="542"/>
      <c r="D599" s="473"/>
    </row>
    <row r="600" spans="1:4" s="472" customFormat="1">
      <c r="A600" s="473"/>
      <c r="B600" s="473"/>
      <c r="C600" s="542"/>
      <c r="D600" s="473"/>
    </row>
    <row r="601" spans="1:4" s="472" customFormat="1">
      <c r="A601" s="473"/>
      <c r="B601" s="473"/>
      <c r="C601" s="542"/>
      <c r="D601" s="473"/>
    </row>
    <row r="602" spans="1:4" s="472" customFormat="1">
      <c r="A602" s="473"/>
      <c r="B602" s="473"/>
      <c r="C602" s="542"/>
      <c r="D602" s="473"/>
    </row>
    <row r="603" spans="1:4" s="472" customFormat="1">
      <c r="A603" s="473"/>
      <c r="B603" s="473"/>
      <c r="C603" s="542"/>
      <c r="D603" s="473"/>
    </row>
    <row r="604" spans="1:4" s="472" customFormat="1">
      <c r="A604" s="473"/>
      <c r="B604" s="473"/>
      <c r="C604" s="542"/>
      <c r="D604" s="473"/>
    </row>
    <row r="605" spans="1:4" s="472" customFormat="1">
      <c r="A605" s="473"/>
      <c r="B605" s="473"/>
      <c r="C605" s="542"/>
      <c r="D605" s="473"/>
    </row>
    <row r="606" spans="1:4" s="472" customFormat="1">
      <c r="A606" s="473"/>
      <c r="B606" s="473"/>
      <c r="C606" s="542"/>
      <c r="D606" s="473"/>
    </row>
    <row r="607" spans="1:4" s="472" customFormat="1">
      <c r="A607" s="473"/>
      <c r="B607" s="473"/>
      <c r="C607" s="542"/>
      <c r="D607" s="473"/>
    </row>
    <row r="608" spans="1:4" s="472" customFormat="1">
      <c r="A608" s="473"/>
      <c r="B608" s="473"/>
      <c r="C608" s="542"/>
      <c r="D608" s="473"/>
    </row>
    <row r="609" spans="1:4" s="472" customFormat="1">
      <c r="A609" s="473"/>
      <c r="B609" s="473"/>
      <c r="C609" s="542"/>
      <c r="D609" s="473"/>
    </row>
    <row r="610" spans="1:4" s="472" customFormat="1">
      <c r="A610" s="473"/>
      <c r="B610" s="473"/>
      <c r="C610" s="542"/>
      <c r="D610" s="473"/>
    </row>
    <row r="611" spans="1:4" s="472" customFormat="1">
      <c r="A611" s="473"/>
      <c r="B611" s="473"/>
      <c r="C611" s="542"/>
      <c r="D611" s="473"/>
    </row>
    <row r="612" spans="1:4" s="472" customFormat="1">
      <c r="A612" s="473"/>
      <c r="B612" s="473"/>
      <c r="C612" s="542"/>
      <c r="D612" s="473"/>
    </row>
    <row r="613" spans="1:4" s="472" customFormat="1">
      <c r="A613" s="473"/>
      <c r="B613" s="473"/>
      <c r="C613" s="542"/>
      <c r="D613" s="473"/>
    </row>
    <row r="614" spans="1:4" s="472" customFormat="1">
      <c r="A614" s="473"/>
      <c r="B614" s="473"/>
      <c r="C614" s="542"/>
      <c r="D614" s="473"/>
    </row>
    <row r="615" spans="1:4" s="472" customFormat="1">
      <c r="A615" s="473"/>
      <c r="B615" s="473"/>
      <c r="C615" s="542"/>
      <c r="D615" s="473"/>
    </row>
    <row r="616" spans="1:4" s="472" customFormat="1">
      <c r="A616" s="473"/>
      <c r="B616" s="473"/>
      <c r="C616" s="542"/>
      <c r="D616" s="473"/>
    </row>
    <row r="617" spans="1:4" s="472" customFormat="1">
      <c r="A617" s="473"/>
      <c r="B617" s="473"/>
      <c r="C617" s="542"/>
      <c r="D617" s="473"/>
    </row>
    <row r="618" spans="1:4" s="472" customFormat="1">
      <c r="A618" s="473"/>
      <c r="B618" s="473"/>
      <c r="C618" s="542"/>
      <c r="D618" s="473"/>
    </row>
    <row r="619" spans="1:4" s="472" customFormat="1">
      <c r="A619" s="473"/>
      <c r="B619" s="473"/>
      <c r="C619" s="542"/>
      <c r="D619" s="473"/>
    </row>
    <row r="620" spans="1:4" s="472" customFormat="1">
      <c r="A620" s="473"/>
      <c r="B620" s="473"/>
      <c r="C620" s="542"/>
      <c r="D620" s="473"/>
    </row>
    <row r="621" spans="1:4" s="472" customFormat="1">
      <c r="A621" s="473"/>
      <c r="B621" s="473"/>
      <c r="C621" s="542"/>
      <c r="D621" s="473"/>
    </row>
    <row r="622" spans="1:4" s="472" customFormat="1">
      <c r="A622" s="473"/>
      <c r="B622" s="473"/>
      <c r="C622" s="542"/>
      <c r="D622" s="473"/>
    </row>
    <row r="623" spans="1:4" s="472" customFormat="1">
      <c r="A623" s="473"/>
      <c r="B623" s="473"/>
      <c r="C623" s="542"/>
      <c r="D623" s="473"/>
    </row>
    <row r="624" spans="1:4" s="472" customFormat="1">
      <c r="A624" s="473"/>
      <c r="B624" s="473"/>
      <c r="C624" s="542"/>
      <c r="D624" s="473"/>
    </row>
    <row r="625" spans="1:4" s="472" customFormat="1">
      <c r="A625" s="473"/>
      <c r="B625" s="473"/>
      <c r="C625" s="542"/>
      <c r="D625" s="473"/>
    </row>
    <row r="626" spans="1:4" s="472" customFormat="1">
      <c r="A626" s="473"/>
      <c r="B626" s="473"/>
      <c r="C626" s="542"/>
      <c r="D626" s="473"/>
    </row>
    <row r="627" spans="1:4" s="472" customFormat="1">
      <c r="A627" s="473"/>
      <c r="B627" s="473"/>
      <c r="C627" s="542"/>
      <c r="D627" s="473"/>
    </row>
    <row r="628" spans="1:4" s="472" customFormat="1">
      <c r="A628" s="473"/>
      <c r="B628" s="473"/>
      <c r="C628" s="542"/>
      <c r="D628" s="473"/>
    </row>
    <row r="629" spans="1:4" s="472" customFormat="1">
      <c r="A629" s="473"/>
      <c r="B629" s="473"/>
      <c r="C629" s="542"/>
      <c r="D629" s="473"/>
    </row>
    <row r="630" spans="1:4" s="472" customFormat="1">
      <c r="A630" s="473"/>
      <c r="B630" s="473"/>
      <c r="C630" s="542"/>
      <c r="D630" s="473"/>
    </row>
    <row r="631" spans="1:4" s="472" customFormat="1">
      <c r="A631" s="473"/>
      <c r="B631" s="473"/>
      <c r="C631" s="542"/>
      <c r="D631" s="473"/>
    </row>
    <row r="632" spans="1:4" s="472" customFormat="1">
      <c r="A632" s="473"/>
      <c r="B632" s="473"/>
      <c r="C632" s="542"/>
      <c r="D632" s="473"/>
    </row>
    <row r="633" spans="1:4" s="472" customFormat="1">
      <c r="A633" s="473"/>
      <c r="B633" s="473"/>
      <c r="C633" s="542"/>
      <c r="D633" s="473"/>
    </row>
    <row r="634" spans="1:4" s="472" customFormat="1">
      <c r="A634" s="473"/>
      <c r="B634" s="473"/>
      <c r="C634" s="542"/>
      <c r="D634" s="473"/>
    </row>
    <row r="635" spans="1:4" s="472" customFormat="1">
      <c r="A635" s="473"/>
      <c r="B635" s="473"/>
      <c r="C635" s="542"/>
      <c r="D635" s="473"/>
    </row>
    <row r="636" spans="1:4" s="472" customFormat="1">
      <c r="A636" s="473"/>
      <c r="B636" s="473"/>
      <c r="C636" s="542"/>
      <c r="D636" s="473"/>
    </row>
    <row r="637" spans="1:4" s="472" customFormat="1">
      <c r="A637" s="473"/>
      <c r="B637" s="473"/>
      <c r="C637" s="542"/>
      <c r="D637" s="473"/>
    </row>
    <row r="638" spans="1:4" s="472" customFormat="1">
      <c r="A638" s="473"/>
      <c r="B638" s="473"/>
      <c r="C638" s="542"/>
      <c r="D638" s="473"/>
    </row>
    <row r="639" spans="1:4" s="472" customFormat="1">
      <c r="A639" s="473"/>
      <c r="B639" s="473"/>
      <c r="C639" s="542"/>
      <c r="D639" s="473"/>
    </row>
    <row r="640" spans="1:4" s="472" customFormat="1">
      <c r="A640" s="473"/>
      <c r="B640" s="473"/>
      <c r="C640" s="542"/>
      <c r="D640" s="473"/>
    </row>
    <row r="641" spans="1:4" s="472" customFormat="1">
      <c r="A641" s="473"/>
      <c r="B641" s="473"/>
      <c r="C641" s="542"/>
      <c r="D641" s="473"/>
    </row>
    <row r="642" spans="1:4" s="472" customFormat="1">
      <c r="A642" s="473"/>
      <c r="B642" s="473"/>
      <c r="C642" s="542"/>
      <c r="D642" s="473"/>
    </row>
    <row r="643" spans="1:4" s="472" customFormat="1">
      <c r="A643" s="473"/>
      <c r="B643" s="473"/>
      <c r="C643" s="542"/>
      <c r="D643" s="473"/>
    </row>
    <row r="644" spans="1:4" s="472" customFormat="1">
      <c r="A644" s="473"/>
      <c r="B644" s="473"/>
      <c r="C644" s="542"/>
      <c r="D644" s="473"/>
    </row>
    <row r="645" spans="1:4" s="472" customFormat="1">
      <c r="A645" s="473"/>
      <c r="B645" s="473"/>
      <c r="C645" s="542"/>
      <c r="D645" s="473"/>
    </row>
    <row r="646" spans="1:4" s="472" customFormat="1">
      <c r="A646" s="473"/>
      <c r="B646" s="473"/>
      <c r="C646" s="542"/>
      <c r="D646" s="473"/>
    </row>
    <row r="647" spans="1:4" s="472" customFormat="1">
      <c r="A647" s="473"/>
      <c r="B647" s="473"/>
      <c r="C647" s="542"/>
      <c r="D647" s="473"/>
    </row>
    <row r="648" spans="1:4" s="472" customFormat="1">
      <c r="A648" s="473"/>
      <c r="B648" s="473"/>
      <c r="C648" s="542"/>
      <c r="D648" s="473"/>
    </row>
    <row r="649" spans="1:4" s="472" customFormat="1">
      <c r="A649" s="473"/>
      <c r="B649" s="473"/>
      <c r="C649" s="542"/>
      <c r="D649" s="473"/>
    </row>
    <row r="650" spans="1:4" s="472" customFormat="1">
      <c r="A650" s="473"/>
      <c r="B650" s="473"/>
      <c r="C650" s="542"/>
      <c r="D650" s="473"/>
    </row>
    <row r="651" spans="1:4" s="472" customFormat="1">
      <c r="A651" s="473"/>
      <c r="B651" s="473"/>
      <c r="C651" s="542"/>
      <c r="D651" s="473"/>
    </row>
    <row r="652" spans="1:4" s="472" customFormat="1">
      <c r="A652" s="473"/>
      <c r="B652" s="473"/>
      <c r="C652" s="542"/>
      <c r="D652" s="473"/>
    </row>
    <row r="653" spans="1:4" s="472" customFormat="1">
      <c r="A653" s="473"/>
      <c r="B653" s="473"/>
      <c r="C653" s="542"/>
      <c r="D653" s="473"/>
    </row>
    <row r="654" spans="1:4" s="472" customFormat="1">
      <c r="A654" s="473"/>
      <c r="B654" s="473"/>
      <c r="C654" s="542"/>
      <c r="D654" s="473"/>
    </row>
    <row r="655" spans="1:4" s="472" customFormat="1">
      <c r="A655" s="473"/>
      <c r="B655" s="473"/>
      <c r="C655" s="542"/>
      <c r="D655" s="473"/>
    </row>
    <row r="656" spans="1:4" s="472" customFormat="1">
      <c r="A656" s="473"/>
      <c r="B656" s="473"/>
      <c r="C656" s="542"/>
      <c r="D656" s="473"/>
    </row>
    <row r="657" spans="1:4" s="472" customFormat="1">
      <c r="A657" s="473"/>
      <c r="B657" s="473"/>
      <c r="C657" s="542"/>
      <c r="D657" s="473"/>
    </row>
    <row r="658" spans="1:4" s="472" customFormat="1">
      <c r="A658" s="473"/>
      <c r="B658" s="473"/>
      <c r="C658" s="542"/>
      <c r="D658" s="473"/>
    </row>
    <row r="659" spans="1:4" s="472" customFormat="1">
      <c r="A659" s="473"/>
      <c r="B659" s="473"/>
      <c r="C659" s="542"/>
      <c r="D659" s="473"/>
    </row>
    <row r="660" spans="1:4" s="472" customFormat="1">
      <c r="A660" s="473"/>
      <c r="B660" s="473"/>
      <c r="C660" s="542"/>
      <c r="D660" s="473"/>
    </row>
    <row r="661" spans="1:4" s="472" customFormat="1">
      <c r="A661" s="473"/>
      <c r="B661" s="473"/>
      <c r="C661" s="542"/>
      <c r="D661" s="473"/>
    </row>
    <row r="662" spans="1:4" s="472" customFormat="1">
      <c r="A662" s="473"/>
      <c r="B662" s="473"/>
      <c r="C662" s="542"/>
      <c r="D662" s="473"/>
    </row>
    <row r="663" spans="1:4" s="472" customFormat="1">
      <c r="A663" s="473"/>
      <c r="B663" s="473"/>
      <c r="C663" s="542"/>
      <c r="D663" s="473"/>
    </row>
    <row r="664" spans="1:4" s="472" customFormat="1">
      <c r="A664" s="473"/>
      <c r="B664" s="473"/>
      <c r="C664" s="542"/>
      <c r="D664" s="473"/>
    </row>
    <row r="665" spans="1:4" s="472" customFormat="1">
      <c r="A665" s="473"/>
      <c r="B665" s="473"/>
      <c r="C665" s="542"/>
      <c r="D665" s="473"/>
    </row>
    <row r="666" spans="1:4" s="472" customFormat="1">
      <c r="A666" s="473"/>
      <c r="B666" s="473"/>
      <c r="C666" s="542"/>
      <c r="D666" s="473"/>
    </row>
    <row r="667" spans="1:4" s="472" customFormat="1">
      <c r="A667" s="473"/>
      <c r="B667" s="473"/>
      <c r="C667" s="542"/>
      <c r="D667" s="473"/>
    </row>
    <row r="668" spans="1:4" s="472" customFormat="1">
      <c r="A668" s="473"/>
      <c r="B668" s="473"/>
      <c r="C668" s="542"/>
      <c r="D668" s="473"/>
    </row>
    <row r="669" spans="1:4" s="472" customFormat="1">
      <c r="A669" s="473"/>
      <c r="B669" s="473"/>
      <c r="C669" s="542"/>
      <c r="D669" s="473"/>
    </row>
    <row r="670" spans="1:4" s="472" customFormat="1">
      <c r="A670" s="473"/>
      <c r="B670" s="473"/>
      <c r="C670" s="542"/>
      <c r="D670" s="473"/>
    </row>
    <row r="671" spans="1:4" s="472" customFormat="1">
      <c r="A671" s="473"/>
      <c r="B671" s="473"/>
      <c r="C671" s="542"/>
      <c r="D671" s="473"/>
    </row>
    <row r="672" spans="1:4" s="472" customFormat="1">
      <c r="A672" s="473"/>
      <c r="B672" s="473"/>
      <c r="C672" s="542"/>
      <c r="D672" s="473"/>
    </row>
    <row r="673" spans="1:4" s="472" customFormat="1">
      <c r="A673" s="473"/>
      <c r="B673" s="473"/>
      <c r="C673" s="542"/>
      <c r="D673" s="473"/>
    </row>
    <row r="674" spans="1:4" s="472" customFormat="1">
      <c r="A674" s="473"/>
      <c r="B674" s="473"/>
      <c r="C674" s="542"/>
      <c r="D674" s="473"/>
    </row>
    <row r="675" spans="1:4" s="472" customFormat="1">
      <c r="A675" s="473"/>
      <c r="B675" s="473"/>
      <c r="C675" s="542"/>
      <c r="D675" s="473"/>
    </row>
    <row r="676" spans="1:4" s="472" customFormat="1">
      <c r="A676" s="473"/>
      <c r="B676" s="473"/>
      <c r="C676" s="542"/>
      <c r="D676" s="473"/>
    </row>
    <row r="677" spans="1:4" s="472" customFormat="1">
      <c r="A677" s="473"/>
      <c r="B677" s="473"/>
      <c r="C677" s="542"/>
      <c r="D677" s="473"/>
    </row>
    <row r="678" spans="1:4" s="472" customFormat="1">
      <c r="A678" s="473"/>
      <c r="B678" s="473"/>
      <c r="C678" s="542"/>
      <c r="D678" s="473"/>
    </row>
    <row r="679" spans="1:4" s="472" customFormat="1">
      <c r="A679" s="473"/>
      <c r="B679" s="473"/>
      <c r="C679" s="542"/>
      <c r="D679" s="473"/>
    </row>
    <row r="680" spans="1:4" s="472" customFormat="1">
      <c r="A680" s="473"/>
      <c r="B680" s="473"/>
      <c r="C680" s="542"/>
      <c r="D680" s="473"/>
    </row>
    <row r="681" spans="1:4" s="472" customFormat="1">
      <c r="A681" s="473"/>
      <c r="B681" s="473"/>
      <c r="C681" s="542"/>
      <c r="D681" s="473"/>
    </row>
    <row r="682" spans="1:4" s="472" customFormat="1">
      <c r="A682" s="473"/>
      <c r="B682" s="473"/>
      <c r="C682" s="542"/>
      <c r="D682" s="473"/>
    </row>
    <row r="683" spans="1:4" s="472" customFormat="1">
      <c r="A683" s="473"/>
      <c r="B683" s="473"/>
      <c r="C683" s="542"/>
      <c r="D683" s="473"/>
    </row>
    <row r="684" spans="1:4" s="472" customFormat="1">
      <c r="A684" s="473"/>
      <c r="B684" s="473"/>
      <c r="C684" s="542"/>
      <c r="D684" s="473"/>
    </row>
    <row r="685" spans="1:4" s="472" customFormat="1">
      <c r="A685" s="473"/>
      <c r="B685" s="473"/>
      <c r="C685" s="542"/>
      <c r="D685" s="473"/>
    </row>
    <row r="686" spans="1:4" s="472" customFormat="1">
      <c r="A686" s="473"/>
      <c r="B686" s="473"/>
      <c r="C686" s="542"/>
      <c r="D686" s="473"/>
    </row>
    <row r="687" spans="1:4" s="472" customFormat="1">
      <c r="A687" s="473"/>
      <c r="B687" s="473"/>
      <c r="C687" s="542"/>
      <c r="D687" s="473"/>
    </row>
    <row r="688" spans="1:4" s="472" customFormat="1">
      <c r="A688" s="473"/>
      <c r="B688" s="473"/>
      <c r="C688" s="542"/>
      <c r="D688" s="473"/>
    </row>
    <row r="689" spans="1:4" s="472" customFormat="1">
      <c r="A689" s="473"/>
      <c r="B689" s="473"/>
      <c r="C689" s="542"/>
      <c r="D689" s="473"/>
    </row>
    <row r="690" spans="1:4" s="472" customFormat="1">
      <c r="A690" s="473"/>
      <c r="B690" s="473"/>
      <c r="C690" s="542"/>
      <c r="D690" s="473"/>
    </row>
    <row r="691" spans="1:4" s="472" customFormat="1">
      <c r="A691" s="473"/>
      <c r="B691" s="473"/>
      <c r="C691" s="542"/>
      <c r="D691" s="473"/>
    </row>
    <row r="692" spans="1:4" s="472" customFormat="1">
      <c r="A692" s="473"/>
      <c r="B692" s="473"/>
      <c r="C692" s="542"/>
      <c r="D692" s="473"/>
    </row>
    <row r="693" spans="1:4" s="472" customFormat="1">
      <c r="A693" s="473"/>
      <c r="B693" s="473"/>
      <c r="C693" s="542"/>
      <c r="D693" s="473"/>
    </row>
    <row r="694" spans="1:4" s="472" customFormat="1">
      <c r="A694" s="473"/>
      <c r="B694" s="473"/>
      <c r="C694" s="542"/>
      <c r="D694" s="473"/>
    </row>
    <row r="695" spans="1:4" s="472" customFormat="1">
      <c r="A695" s="473"/>
      <c r="B695" s="473"/>
      <c r="C695" s="542"/>
      <c r="D695" s="473"/>
    </row>
    <row r="696" spans="1:4" s="472" customFormat="1">
      <c r="A696" s="473"/>
      <c r="B696" s="473"/>
      <c r="C696" s="542"/>
      <c r="D696" s="473"/>
    </row>
    <row r="697" spans="1:4" s="472" customFormat="1">
      <c r="A697" s="473"/>
      <c r="B697" s="473"/>
      <c r="C697" s="542"/>
      <c r="D697" s="473"/>
    </row>
    <row r="698" spans="1:4" s="472" customFormat="1">
      <c r="A698" s="473"/>
      <c r="B698" s="473"/>
      <c r="C698" s="542"/>
      <c r="D698" s="473"/>
    </row>
    <row r="699" spans="1:4" s="472" customFormat="1">
      <c r="A699" s="473"/>
      <c r="B699" s="473"/>
      <c r="C699" s="542"/>
      <c r="D699" s="473"/>
    </row>
    <row r="700" spans="1:4" s="472" customFormat="1">
      <c r="A700" s="473"/>
      <c r="B700" s="473"/>
      <c r="C700" s="542"/>
      <c r="D700" s="473"/>
    </row>
    <row r="701" spans="1:4" s="472" customFormat="1">
      <c r="A701" s="473"/>
      <c r="B701" s="473"/>
      <c r="C701" s="542"/>
      <c r="D701" s="473"/>
    </row>
    <row r="702" spans="1:4" s="472" customFormat="1">
      <c r="A702" s="473"/>
      <c r="B702" s="473"/>
      <c r="C702" s="542"/>
      <c r="D702" s="473"/>
    </row>
    <row r="703" spans="1:4" s="472" customFormat="1">
      <c r="A703" s="473"/>
      <c r="B703" s="473"/>
      <c r="C703" s="542"/>
      <c r="D703" s="473"/>
    </row>
    <row r="704" spans="1:4" s="472" customFormat="1">
      <c r="A704" s="473"/>
      <c r="B704" s="473"/>
      <c r="C704" s="542"/>
      <c r="D704" s="473"/>
    </row>
    <row r="705" spans="1:4" s="472" customFormat="1">
      <c r="A705" s="473"/>
      <c r="B705" s="473"/>
      <c r="C705" s="542"/>
      <c r="D705" s="473"/>
    </row>
    <row r="706" spans="1:4" s="472" customFormat="1">
      <c r="A706" s="473"/>
      <c r="B706" s="473"/>
      <c r="C706" s="542"/>
      <c r="D706" s="473"/>
    </row>
    <row r="707" spans="1:4" s="472" customFormat="1">
      <c r="A707" s="473"/>
      <c r="B707" s="473"/>
      <c r="C707" s="542"/>
      <c r="D707" s="473"/>
    </row>
    <row r="708" spans="1:4" s="472" customFormat="1">
      <c r="A708" s="473"/>
      <c r="B708" s="473"/>
      <c r="C708" s="542"/>
      <c r="D708" s="473"/>
    </row>
    <row r="709" spans="1:4" s="472" customFormat="1">
      <c r="A709" s="473"/>
      <c r="B709" s="473"/>
      <c r="C709" s="542"/>
      <c r="D709" s="473"/>
    </row>
    <row r="710" spans="1:4" s="472" customFormat="1">
      <c r="A710" s="473"/>
      <c r="B710" s="473"/>
      <c r="C710" s="542"/>
      <c r="D710" s="473"/>
    </row>
    <row r="711" spans="1:4" s="472" customFormat="1">
      <c r="A711" s="473"/>
      <c r="B711" s="473"/>
      <c r="C711" s="542"/>
      <c r="D711" s="473"/>
    </row>
    <row r="712" spans="1:4" s="472" customFormat="1">
      <c r="A712" s="473"/>
      <c r="B712" s="473"/>
      <c r="C712" s="542"/>
      <c r="D712" s="473"/>
    </row>
    <row r="713" spans="1:4" s="472" customFormat="1">
      <c r="A713" s="473"/>
      <c r="B713" s="473"/>
      <c r="C713" s="542"/>
      <c r="D713" s="473"/>
    </row>
    <row r="714" spans="1:4" s="472" customFormat="1">
      <c r="A714" s="473"/>
      <c r="B714" s="473"/>
      <c r="C714" s="542"/>
      <c r="D714" s="473"/>
    </row>
    <row r="715" spans="1:4" s="472" customFormat="1">
      <c r="A715" s="473"/>
      <c r="B715" s="473"/>
      <c r="C715" s="542"/>
      <c r="D715" s="473"/>
    </row>
    <row r="716" spans="1:4" s="472" customFormat="1">
      <c r="A716" s="473"/>
      <c r="B716" s="473"/>
      <c r="C716" s="542"/>
      <c r="D716" s="473"/>
    </row>
    <row r="717" spans="1:4" s="472" customFormat="1">
      <c r="A717" s="473"/>
      <c r="B717" s="473"/>
      <c r="C717" s="542"/>
      <c r="D717" s="473"/>
    </row>
    <row r="718" spans="1:4" s="472" customFormat="1">
      <c r="A718" s="473"/>
      <c r="B718" s="473"/>
      <c r="C718" s="542"/>
      <c r="D718" s="473"/>
    </row>
    <row r="719" spans="1:4" s="472" customFormat="1">
      <c r="A719" s="473"/>
      <c r="B719" s="473"/>
      <c r="C719" s="542"/>
      <c r="D719" s="473"/>
    </row>
    <row r="720" spans="1:4" s="472" customFormat="1">
      <c r="A720" s="473"/>
      <c r="B720" s="473"/>
      <c r="C720" s="542"/>
      <c r="D720" s="473"/>
    </row>
    <row r="721" spans="1:4" s="472" customFormat="1">
      <c r="A721" s="473"/>
      <c r="B721" s="473"/>
      <c r="C721" s="542"/>
      <c r="D721" s="473"/>
    </row>
    <row r="722" spans="1:4" s="472" customFormat="1">
      <c r="A722" s="473"/>
      <c r="B722" s="473"/>
      <c r="C722" s="542"/>
      <c r="D722" s="473"/>
    </row>
    <row r="723" spans="1:4" s="472" customFormat="1">
      <c r="A723" s="473"/>
      <c r="B723" s="473"/>
      <c r="C723" s="542"/>
      <c r="D723" s="473"/>
    </row>
    <row r="724" spans="1:4" s="472" customFormat="1">
      <c r="A724" s="473"/>
      <c r="B724" s="473"/>
      <c r="C724" s="542"/>
      <c r="D724" s="473"/>
    </row>
    <row r="725" spans="1:4" s="472" customFormat="1">
      <c r="A725" s="473"/>
      <c r="B725" s="473"/>
      <c r="C725" s="542"/>
      <c r="D725" s="473"/>
    </row>
    <row r="726" spans="1:4" s="472" customFormat="1">
      <c r="A726" s="473"/>
      <c r="B726" s="473"/>
      <c r="C726" s="542"/>
      <c r="D726" s="473"/>
    </row>
    <row r="727" spans="1:4" s="472" customFormat="1">
      <c r="A727" s="473"/>
      <c r="B727" s="473"/>
      <c r="C727" s="542"/>
      <c r="D727" s="473"/>
    </row>
    <row r="728" spans="1:4" s="472" customFormat="1">
      <c r="A728" s="473"/>
      <c r="B728" s="473"/>
      <c r="C728" s="542"/>
      <c r="D728" s="473"/>
    </row>
    <row r="729" spans="1:4" s="472" customFormat="1">
      <c r="A729" s="473"/>
      <c r="B729" s="473"/>
      <c r="C729" s="542"/>
      <c r="D729" s="473"/>
    </row>
    <row r="730" spans="1:4" s="472" customFormat="1">
      <c r="A730" s="473"/>
      <c r="B730" s="473"/>
      <c r="C730" s="542"/>
      <c r="D730" s="473"/>
    </row>
    <row r="731" spans="1:4" s="472" customFormat="1">
      <c r="A731" s="473"/>
      <c r="B731" s="473"/>
      <c r="C731" s="542"/>
      <c r="D731" s="473"/>
    </row>
    <row r="732" spans="1:4" s="472" customFormat="1">
      <c r="A732" s="473"/>
      <c r="B732" s="473"/>
      <c r="C732" s="542"/>
      <c r="D732" s="473"/>
    </row>
    <row r="733" spans="1:4" s="472" customFormat="1">
      <c r="A733" s="473"/>
      <c r="B733" s="473"/>
      <c r="C733" s="542"/>
      <c r="D733" s="473"/>
    </row>
    <row r="734" spans="1:4" s="472" customFormat="1">
      <c r="A734" s="473"/>
      <c r="B734" s="473"/>
      <c r="C734" s="542"/>
      <c r="D734" s="473"/>
    </row>
    <row r="735" spans="1:4" s="472" customFormat="1">
      <c r="A735" s="473"/>
      <c r="B735" s="473"/>
      <c r="C735" s="542"/>
      <c r="D735" s="473"/>
    </row>
    <row r="736" spans="1:4" s="472" customFormat="1">
      <c r="A736" s="473"/>
      <c r="B736" s="473"/>
      <c r="C736" s="542"/>
      <c r="D736" s="473"/>
    </row>
    <row r="737" spans="1:4" s="472" customFormat="1">
      <c r="A737" s="473"/>
      <c r="B737" s="473"/>
      <c r="C737" s="542"/>
      <c r="D737" s="473"/>
    </row>
    <row r="738" spans="1:4" s="472" customFormat="1">
      <c r="A738" s="473"/>
      <c r="B738" s="473"/>
      <c r="C738" s="542"/>
      <c r="D738" s="473"/>
    </row>
    <row r="739" spans="1:4" s="472" customFormat="1">
      <c r="A739" s="473"/>
      <c r="B739" s="473"/>
      <c r="C739" s="542"/>
      <c r="D739" s="473"/>
    </row>
    <row r="740" spans="1:4" s="472" customFormat="1">
      <c r="A740" s="473"/>
      <c r="B740" s="473"/>
      <c r="C740" s="542"/>
      <c r="D740" s="473"/>
    </row>
    <row r="741" spans="1:4" s="472" customFormat="1">
      <c r="A741" s="473"/>
      <c r="B741" s="473"/>
      <c r="C741" s="542"/>
      <c r="D741" s="473"/>
    </row>
    <row r="742" spans="1:4" s="472" customFormat="1">
      <c r="A742" s="473"/>
      <c r="B742" s="473"/>
      <c r="C742" s="542"/>
      <c r="D742" s="473"/>
    </row>
    <row r="743" spans="1:4" s="472" customFormat="1">
      <c r="A743" s="473"/>
      <c r="B743" s="473"/>
      <c r="C743" s="542"/>
      <c r="D743" s="473"/>
    </row>
    <row r="744" spans="1:4" s="472" customFormat="1">
      <c r="A744" s="473"/>
      <c r="B744" s="473"/>
      <c r="C744" s="542"/>
      <c r="D744" s="473"/>
    </row>
    <row r="745" spans="1:4" s="472" customFormat="1">
      <c r="A745" s="473"/>
      <c r="B745" s="473"/>
      <c r="C745" s="542"/>
      <c r="D745" s="473"/>
    </row>
    <row r="746" spans="1:4" s="472" customFormat="1">
      <c r="A746" s="473"/>
      <c r="B746" s="473"/>
      <c r="C746" s="542"/>
      <c r="D746" s="473"/>
    </row>
    <row r="747" spans="1:4" s="472" customFormat="1">
      <c r="A747" s="473"/>
      <c r="B747" s="473"/>
      <c r="C747" s="542"/>
      <c r="D747" s="473"/>
    </row>
    <row r="748" spans="1:4" s="472" customFormat="1">
      <c r="A748" s="473"/>
      <c r="B748" s="473"/>
      <c r="C748" s="542"/>
      <c r="D748" s="473"/>
    </row>
    <row r="749" spans="1:4" s="472" customFormat="1">
      <c r="A749" s="473"/>
      <c r="B749" s="473"/>
      <c r="C749" s="542"/>
      <c r="D749" s="473"/>
    </row>
    <row r="750" spans="1:4" s="472" customFormat="1">
      <c r="A750" s="473"/>
      <c r="B750" s="473"/>
      <c r="C750" s="542"/>
      <c r="D750" s="473"/>
    </row>
    <row r="751" spans="1:4" s="472" customFormat="1">
      <c r="A751" s="473"/>
      <c r="B751" s="473"/>
      <c r="C751" s="542"/>
      <c r="D751" s="473"/>
    </row>
    <row r="752" spans="1:4" s="472" customFormat="1">
      <c r="A752" s="473"/>
      <c r="B752" s="473"/>
      <c r="C752" s="542"/>
      <c r="D752" s="473"/>
    </row>
    <row r="753" spans="1:4" s="472" customFormat="1">
      <c r="A753" s="473"/>
      <c r="B753" s="473"/>
      <c r="C753" s="542"/>
      <c r="D753" s="473"/>
    </row>
    <row r="754" spans="1:4" s="472" customFormat="1">
      <c r="A754" s="473"/>
      <c r="B754" s="473"/>
      <c r="C754" s="542"/>
      <c r="D754" s="473"/>
    </row>
    <row r="755" spans="1:4" s="472" customFormat="1">
      <c r="A755" s="473"/>
      <c r="B755" s="473"/>
      <c r="C755" s="542"/>
      <c r="D755" s="473"/>
    </row>
    <row r="756" spans="1:4" s="472" customFormat="1">
      <c r="A756" s="473"/>
      <c r="B756" s="473"/>
      <c r="C756" s="542"/>
      <c r="D756" s="473"/>
    </row>
    <row r="757" spans="1:4" s="472" customFormat="1">
      <c r="A757" s="473"/>
      <c r="B757" s="473"/>
      <c r="C757" s="542"/>
      <c r="D757" s="473"/>
    </row>
    <row r="758" spans="1:4" s="472" customFormat="1">
      <c r="A758" s="473"/>
      <c r="B758" s="473"/>
      <c r="C758" s="542"/>
      <c r="D758" s="473"/>
    </row>
    <row r="759" spans="1:4" s="472" customFormat="1">
      <c r="A759" s="473"/>
      <c r="B759" s="473"/>
      <c r="C759" s="542"/>
      <c r="D759" s="473"/>
    </row>
    <row r="760" spans="1:4" s="472" customFormat="1">
      <c r="A760" s="473"/>
      <c r="B760" s="473"/>
      <c r="C760" s="542"/>
      <c r="D760" s="473"/>
    </row>
    <row r="761" spans="1:4" s="472" customFormat="1">
      <c r="A761" s="473"/>
      <c r="B761" s="473"/>
      <c r="C761" s="542"/>
      <c r="D761" s="473"/>
    </row>
    <row r="762" spans="1:4" s="472" customFormat="1">
      <c r="A762" s="473"/>
      <c r="B762" s="473"/>
      <c r="C762" s="542"/>
      <c r="D762" s="473"/>
    </row>
    <row r="763" spans="1:4" s="472" customFormat="1">
      <c r="A763" s="473"/>
      <c r="B763" s="473"/>
      <c r="C763" s="542"/>
      <c r="D763" s="473"/>
    </row>
    <row r="764" spans="1:4" s="472" customFormat="1">
      <c r="A764" s="473"/>
      <c r="B764" s="473"/>
      <c r="C764" s="542"/>
      <c r="D764" s="473"/>
    </row>
    <row r="765" spans="1:4" s="472" customFormat="1">
      <c r="A765" s="473"/>
      <c r="B765" s="473"/>
      <c r="C765" s="542"/>
      <c r="D765" s="473"/>
    </row>
    <row r="766" spans="1:4" s="472" customFormat="1">
      <c r="A766" s="473"/>
      <c r="B766" s="473"/>
      <c r="C766" s="542"/>
      <c r="D766" s="473"/>
    </row>
    <row r="767" spans="1:4" s="472" customFormat="1">
      <c r="A767" s="473"/>
      <c r="B767" s="473"/>
      <c r="C767" s="542"/>
      <c r="D767" s="473"/>
    </row>
    <row r="768" spans="1:4" s="472" customFormat="1">
      <c r="A768" s="473"/>
      <c r="B768" s="473"/>
      <c r="C768" s="542"/>
      <c r="D768" s="473"/>
    </row>
    <row r="769" spans="1:4" s="472" customFormat="1">
      <c r="A769" s="473"/>
      <c r="B769" s="473"/>
      <c r="C769" s="542"/>
      <c r="D769" s="473"/>
    </row>
    <row r="770" spans="1:4" s="472" customFormat="1">
      <c r="A770" s="473"/>
      <c r="B770" s="473"/>
      <c r="C770" s="542"/>
      <c r="D770" s="473"/>
    </row>
    <row r="771" spans="1:4" s="472" customFormat="1">
      <c r="A771" s="473"/>
      <c r="B771" s="473"/>
      <c r="C771" s="542"/>
      <c r="D771" s="473"/>
    </row>
    <row r="772" spans="1:4" s="472" customFormat="1">
      <c r="A772" s="473"/>
      <c r="B772" s="473"/>
      <c r="C772" s="542"/>
      <c r="D772" s="473"/>
    </row>
    <row r="773" spans="1:4" s="472" customFormat="1">
      <c r="A773" s="473"/>
      <c r="B773" s="473"/>
      <c r="C773" s="542"/>
      <c r="D773" s="473"/>
    </row>
    <row r="774" spans="1:4" s="472" customFormat="1">
      <c r="A774" s="473"/>
      <c r="B774" s="473"/>
      <c r="C774" s="542"/>
      <c r="D774" s="473"/>
    </row>
    <row r="775" spans="1:4" s="472" customFormat="1">
      <c r="A775" s="473"/>
      <c r="B775" s="473"/>
      <c r="C775" s="542"/>
      <c r="D775" s="473"/>
    </row>
    <row r="776" spans="1:4" s="472" customFormat="1">
      <c r="A776" s="473"/>
      <c r="B776" s="473"/>
      <c r="C776" s="542"/>
      <c r="D776" s="473"/>
    </row>
    <row r="777" spans="1:4" s="472" customFormat="1">
      <c r="A777" s="473"/>
      <c r="B777" s="473"/>
      <c r="C777" s="542"/>
      <c r="D777" s="473"/>
    </row>
    <row r="778" spans="1:4" s="472" customFormat="1">
      <c r="A778" s="473"/>
      <c r="B778" s="473"/>
      <c r="C778" s="542"/>
      <c r="D778" s="473"/>
    </row>
    <row r="779" spans="1:4" s="472" customFormat="1">
      <c r="A779" s="473"/>
      <c r="B779" s="473"/>
      <c r="C779" s="542"/>
      <c r="D779" s="473"/>
    </row>
    <row r="780" spans="1:4" s="472" customFormat="1">
      <c r="A780" s="473"/>
      <c r="B780" s="473"/>
      <c r="C780" s="542"/>
      <c r="D780" s="473"/>
    </row>
    <row r="781" spans="1:4" s="472" customFormat="1">
      <c r="A781" s="473"/>
      <c r="B781" s="473"/>
      <c r="C781" s="542"/>
      <c r="D781" s="473"/>
    </row>
    <row r="782" spans="1:4" s="472" customFormat="1">
      <c r="A782" s="473"/>
      <c r="B782" s="473"/>
      <c r="C782" s="542"/>
      <c r="D782" s="473"/>
    </row>
    <row r="783" spans="1:4" s="472" customFormat="1">
      <c r="A783" s="473"/>
      <c r="B783" s="473"/>
      <c r="C783" s="542"/>
      <c r="D783" s="473"/>
    </row>
    <row r="784" spans="1:4" s="472" customFormat="1">
      <c r="A784" s="473"/>
      <c r="B784" s="473"/>
      <c r="C784" s="542"/>
      <c r="D784" s="473"/>
    </row>
    <row r="785" spans="1:4" s="472" customFormat="1">
      <c r="A785" s="473"/>
      <c r="B785" s="473"/>
      <c r="C785" s="542"/>
      <c r="D785" s="473"/>
    </row>
    <row r="786" spans="1:4" s="472" customFormat="1">
      <c r="A786" s="473"/>
      <c r="B786" s="473"/>
      <c r="C786" s="542"/>
      <c r="D786" s="473"/>
    </row>
    <row r="787" spans="1:4" s="472" customFormat="1">
      <c r="A787" s="473"/>
      <c r="B787" s="473"/>
      <c r="C787" s="542"/>
      <c r="D787" s="473"/>
    </row>
    <row r="788" spans="1:4" s="472" customFormat="1">
      <c r="A788" s="473"/>
      <c r="B788" s="473"/>
      <c r="C788" s="542"/>
      <c r="D788" s="473"/>
    </row>
    <row r="789" spans="1:4" s="472" customFormat="1">
      <c r="A789" s="473"/>
      <c r="B789" s="473"/>
      <c r="C789" s="542"/>
      <c r="D789" s="473"/>
    </row>
    <row r="790" spans="1:4" s="472" customFormat="1">
      <c r="A790" s="473"/>
      <c r="B790" s="473"/>
      <c r="C790" s="542"/>
      <c r="D790" s="473"/>
    </row>
    <row r="791" spans="1:4" s="472" customFormat="1">
      <c r="A791" s="473"/>
      <c r="B791" s="473"/>
      <c r="C791" s="542"/>
      <c r="D791" s="473"/>
    </row>
    <row r="792" spans="1:4" s="472" customFormat="1">
      <c r="A792" s="473"/>
      <c r="B792" s="473"/>
      <c r="C792" s="542"/>
      <c r="D792" s="473"/>
    </row>
    <row r="793" spans="1:4" s="472" customFormat="1">
      <c r="A793" s="473"/>
      <c r="B793" s="473"/>
      <c r="C793" s="542"/>
      <c r="D793" s="473"/>
    </row>
    <row r="794" spans="1:4" s="472" customFormat="1">
      <c r="A794" s="473"/>
      <c r="B794" s="473"/>
      <c r="C794" s="542"/>
      <c r="D794" s="473"/>
    </row>
    <row r="795" spans="1:4" s="472" customFormat="1">
      <c r="A795" s="473"/>
      <c r="B795" s="473"/>
      <c r="C795" s="542"/>
      <c r="D795" s="473"/>
    </row>
    <row r="796" spans="1:4" s="472" customFormat="1">
      <c r="A796" s="473"/>
      <c r="B796" s="473"/>
      <c r="C796" s="542"/>
      <c r="D796" s="473"/>
    </row>
    <row r="797" spans="1:4" s="472" customFormat="1">
      <c r="A797" s="473"/>
      <c r="B797" s="473"/>
      <c r="C797" s="542"/>
      <c r="D797" s="473"/>
    </row>
    <row r="798" spans="1:4" s="472" customFormat="1">
      <c r="A798" s="473"/>
      <c r="B798" s="473"/>
      <c r="C798" s="542"/>
      <c r="D798" s="473"/>
    </row>
    <row r="799" spans="1:4" s="472" customFormat="1">
      <c r="A799" s="473"/>
      <c r="B799" s="473"/>
      <c r="C799" s="542"/>
      <c r="D799" s="473"/>
    </row>
    <row r="800" spans="1:4" s="472" customFormat="1">
      <c r="A800" s="473"/>
      <c r="B800" s="473"/>
      <c r="C800" s="542"/>
      <c r="D800" s="473"/>
    </row>
    <row r="801" spans="1:4" s="472" customFormat="1">
      <c r="A801" s="473"/>
      <c r="B801" s="473"/>
      <c r="C801" s="542"/>
      <c r="D801" s="473"/>
    </row>
    <row r="802" spans="1:4" s="472" customFormat="1">
      <c r="A802" s="473"/>
      <c r="B802" s="473"/>
      <c r="C802" s="542"/>
      <c r="D802" s="473"/>
    </row>
    <row r="803" spans="1:4" s="472" customFormat="1">
      <c r="A803" s="473"/>
      <c r="B803" s="473"/>
      <c r="C803" s="542"/>
      <c r="D803" s="473"/>
    </row>
    <row r="804" spans="1:4" s="472" customFormat="1">
      <c r="A804" s="473"/>
      <c r="B804" s="473"/>
      <c r="C804" s="542"/>
      <c r="D804" s="473"/>
    </row>
    <row r="805" spans="1:4" s="472" customFormat="1">
      <c r="A805" s="473"/>
      <c r="B805" s="473"/>
      <c r="C805" s="542"/>
      <c r="D805" s="473"/>
    </row>
    <row r="806" spans="1:4" s="472" customFormat="1">
      <c r="A806" s="473"/>
      <c r="B806" s="473"/>
      <c r="C806" s="542"/>
      <c r="D806" s="473"/>
    </row>
    <row r="807" spans="1:4" s="472" customFormat="1">
      <c r="A807" s="473"/>
      <c r="B807" s="473"/>
      <c r="C807" s="542"/>
      <c r="D807" s="473"/>
    </row>
    <row r="808" spans="1:4" s="472" customFormat="1">
      <c r="A808" s="473"/>
      <c r="B808" s="473"/>
      <c r="C808" s="542"/>
      <c r="D808" s="473"/>
    </row>
    <row r="809" spans="1:4" s="472" customFormat="1">
      <c r="A809" s="473"/>
      <c r="B809" s="473"/>
      <c r="C809" s="542"/>
      <c r="D809" s="473"/>
    </row>
    <row r="810" spans="1:4" s="472" customFormat="1">
      <c r="A810" s="473"/>
      <c r="B810" s="473"/>
      <c r="C810" s="542"/>
      <c r="D810" s="473"/>
    </row>
    <row r="811" spans="1:4" s="472" customFormat="1">
      <c r="A811" s="473"/>
      <c r="B811" s="473"/>
      <c r="C811" s="542"/>
      <c r="D811" s="473"/>
    </row>
    <row r="812" spans="1:4" s="472" customFormat="1">
      <c r="A812" s="473"/>
      <c r="B812" s="473"/>
      <c r="C812" s="542"/>
      <c r="D812" s="473"/>
    </row>
    <row r="813" spans="1:4" s="472" customFormat="1">
      <c r="A813" s="473"/>
      <c r="B813" s="473"/>
      <c r="C813" s="542"/>
      <c r="D813" s="473"/>
    </row>
    <row r="814" spans="1:4" s="472" customFormat="1">
      <c r="A814" s="473"/>
      <c r="B814" s="473"/>
      <c r="C814" s="542"/>
      <c r="D814" s="473"/>
    </row>
    <row r="815" spans="1:4" s="472" customFormat="1">
      <c r="A815" s="473"/>
      <c r="B815" s="473"/>
      <c r="C815" s="542"/>
      <c r="D815" s="473"/>
    </row>
    <row r="816" spans="1:4" s="472" customFormat="1">
      <c r="A816" s="473"/>
      <c r="B816" s="473"/>
      <c r="C816" s="542"/>
      <c r="D816" s="473"/>
    </row>
    <row r="817" spans="1:4" s="472" customFormat="1">
      <c r="A817" s="473"/>
      <c r="B817" s="473"/>
      <c r="C817" s="542"/>
      <c r="D817" s="473"/>
    </row>
    <row r="818" spans="1:4" s="472" customFormat="1">
      <c r="A818" s="473"/>
      <c r="B818" s="473"/>
      <c r="C818" s="542"/>
      <c r="D818" s="473"/>
    </row>
    <row r="819" spans="1:4" s="472" customFormat="1">
      <c r="A819" s="473"/>
      <c r="B819" s="473"/>
      <c r="C819" s="542"/>
      <c r="D819" s="473"/>
    </row>
    <row r="820" spans="1:4" s="472" customFormat="1">
      <c r="A820" s="473"/>
      <c r="B820" s="473"/>
      <c r="C820" s="542"/>
      <c r="D820" s="473"/>
    </row>
    <row r="821" spans="1:4" s="472" customFormat="1">
      <c r="A821" s="473"/>
      <c r="B821" s="473"/>
      <c r="C821" s="542"/>
      <c r="D821" s="473"/>
    </row>
    <row r="822" spans="1:4" s="472" customFormat="1">
      <c r="A822" s="473"/>
      <c r="B822" s="473"/>
      <c r="C822" s="542"/>
      <c r="D822" s="473"/>
    </row>
    <row r="823" spans="1:4" s="472" customFormat="1">
      <c r="A823" s="473"/>
      <c r="B823" s="473"/>
      <c r="C823" s="542"/>
      <c r="D823" s="473"/>
    </row>
    <row r="824" spans="1:4" s="472" customFormat="1">
      <c r="A824" s="473"/>
      <c r="B824" s="473"/>
      <c r="C824" s="542"/>
      <c r="D824" s="473"/>
    </row>
    <row r="825" spans="1:4" s="472" customFormat="1">
      <c r="A825" s="473"/>
      <c r="B825" s="473"/>
      <c r="C825" s="542"/>
      <c r="D825" s="473"/>
    </row>
    <row r="826" spans="1:4" s="472" customFormat="1">
      <c r="A826" s="473"/>
      <c r="B826" s="473"/>
      <c r="C826" s="542"/>
      <c r="D826" s="473"/>
    </row>
    <row r="827" spans="1:4" s="472" customFormat="1">
      <c r="A827" s="473"/>
      <c r="B827" s="473"/>
      <c r="C827" s="542"/>
      <c r="D827" s="473"/>
    </row>
    <row r="828" spans="1:4" s="472" customFormat="1">
      <c r="A828" s="473"/>
      <c r="B828" s="473"/>
      <c r="C828" s="542"/>
      <c r="D828" s="473"/>
    </row>
    <row r="829" spans="1:4" s="472" customFormat="1">
      <c r="A829" s="473"/>
      <c r="B829" s="473"/>
      <c r="C829" s="542"/>
      <c r="D829" s="473"/>
    </row>
    <row r="830" spans="1:4" s="472" customFormat="1">
      <c r="A830" s="473"/>
      <c r="B830" s="473"/>
      <c r="C830" s="542"/>
      <c r="D830" s="473"/>
    </row>
    <row r="831" spans="1:4" s="472" customFormat="1">
      <c r="A831" s="473"/>
      <c r="B831" s="473"/>
      <c r="C831" s="542"/>
      <c r="D831" s="473"/>
    </row>
    <row r="832" spans="1:4" s="472" customFormat="1">
      <c r="A832" s="473"/>
      <c r="B832" s="473"/>
      <c r="C832" s="542"/>
      <c r="D832" s="473"/>
    </row>
    <row r="833" spans="1:4" s="472" customFormat="1">
      <c r="A833" s="473"/>
      <c r="B833" s="473"/>
      <c r="C833" s="542"/>
      <c r="D833" s="473"/>
    </row>
    <row r="834" spans="1:4" s="472" customFormat="1">
      <c r="A834" s="473"/>
      <c r="B834" s="473"/>
      <c r="C834" s="542"/>
      <c r="D834" s="473"/>
    </row>
    <row r="835" spans="1:4" s="472" customFormat="1">
      <c r="A835" s="473"/>
      <c r="B835" s="473"/>
      <c r="C835" s="542"/>
      <c r="D835" s="473"/>
    </row>
    <row r="836" spans="1:4" s="472" customFormat="1">
      <c r="A836" s="473"/>
      <c r="B836" s="473"/>
      <c r="C836" s="542"/>
      <c r="D836" s="473"/>
    </row>
    <row r="837" spans="1:4" s="472" customFormat="1">
      <c r="A837" s="473"/>
      <c r="B837" s="473"/>
      <c r="C837" s="542"/>
      <c r="D837" s="473"/>
    </row>
    <row r="838" spans="1:4" s="472" customFormat="1">
      <c r="A838" s="473"/>
      <c r="B838" s="473"/>
      <c r="C838" s="542"/>
      <c r="D838" s="473"/>
    </row>
    <row r="839" spans="1:4" s="472" customFormat="1">
      <c r="A839" s="473"/>
      <c r="B839" s="473"/>
      <c r="C839" s="542"/>
      <c r="D839" s="473"/>
    </row>
    <row r="840" spans="1:4" s="472" customFormat="1">
      <c r="A840" s="473"/>
      <c r="B840" s="473"/>
      <c r="C840" s="542"/>
      <c r="D840" s="473"/>
    </row>
    <row r="841" spans="1:4" s="472" customFormat="1">
      <c r="A841" s="473"/>
      <c r="B841" s="473"/>
      <c r="C841" s="542"/>
      <c r="D841" s="473"/>
    </row>
    <row r="842" spans="1:4" s="472" customFormat="1">
      <c r="A842" s="473"/>
      <c r="B842" s="473"/>
      <c r="C842" s="542"/>
      <c r="D842" s="473"/>
    </row>
    <row r="843" spans="1:4" s="472" customFormat="1">
      <c r="A843" s="473"/>
      <c r="B843" s="473"/>
      <c r="C843" s="542"/>
      <c r="D843" s="473"/>
    </row>
    <row r="844" spans="1:4" s="472" customFormat="1">
      <c r="A844" s="473"/>
      <c r="B844" s="473"/>
      <c r="C844" s="542"/>
      <c r="D844" s="473"/>
    </row>
    <row r="845" spans="1:4" s="472" customFormat="1">
      <c r="A845" s="473"/>
      <c r="B845" s="473"/>
      <c r="C845" s="542"/>
      <c r="D845" s="473"/>
    </row>
    <row r="846" spans="1:4" s="472" customFormat="1">
      <c r="A846" s="473"/>
      <c r="B846" s="473"/>
      <c r="C846" s="542"/>
      <c r="D846" s="473"/>
    </row>
    <row r="847" spans="1:4" s="472" customFormat="1">
      <c r="A847" s="473"/>
      <c r="B847" s="473"/>
      <c r="C847" s="542"/>
      <c r="D847" s="473"/>
    </row>
    <row r="848" spans="1:4" s="472" customFormat="1">
      <c r="A848" s="473"/>
      <c r="B848" s="473"/>
      <c r="C848" s="542"/>
      <c r="D848" s="473"/>
    </row>
    <row r="849" spans="1:4" s="472" customFormat="1">
      <c r="A849" s="473"/>
      <c r="B849" s="473"/>
      <c r="C849" s="542"/>
      <c r="D849" s="473"/>
    </row>
    <row r="850" spans="1:4" s="472" customFormat="1">
      <c r="A850" s="473"/>
      <c r="B850" s="473"/>
      <c r="C850" s="542"/>
      <c r="D850" s="473"/>
    </row>
    <row r="851" spans="1:4" s="472" customFormat="1">
      <c r="A851" s="473"/>
      <c r="B851" s="473"/>
      <c r="C851" s="542"/>
      <c r="D851" s="473"/>
    </row>
    <row r="852" spans="1:4" s="472" customFormat="1">
      <c r="A852" s="473"/>
      <c r="B852" s="473"/>
      <c r="C852" s="542"/>
      <c r="D852" s="473"/>
    </row>
    <row r="853" spans="1:4" s="472" customFormat="1">
      <c r="A853" s="473"/>
      <c r="B853" s="473"/>
      <c r="C853" s="542"/>
      <c r="D853" s="473"/>
    </row>
    <row r="854" spans="1:4" s="472" customFormat="1">
      <c r="A854" s="473"/>
      <c r="B854" s="473"/>
      <c r="C854" s="542"/>
      <c r="D854" s="473"/>
    </row>
    <row r="855" spans="1:4" s="472" customFormat="1">
      <c r="A855" s="473"/>
      <c r="B855" s="473"/>
      <c r="C855" s="542"/>
      <c r="D855" s="473"/>
    </row>
    <row r="856" spans="1:4" s="472" customFormat="1">
      <c r="A856" s="473"/>
      <c r="B856" s="473"/>
      <c r="C856" s="542"/>
      <c r="D856" s="473"/>
    </row>
    <row r="857" spans="1:4" s="472" customFormat="1">
      <c r="A857" s="473"/>
      <c r="B857" s="473"/>
      <c r="C857" s="542"/>
      <c r="D857" s="473"/>
    </row>
    <row r="858" spans="1:4" s="472" customFormat="1">
      <c r="A858" s="473"/>
      <c r="B858" s="473"/>
      <c r="C858" s="542"/>
      <c r="D858" s="473"/>
    </row>
    <row r="859" spans="1:4" s="472" customFormat="1">
      <c r="A859" s="473"/>
      <c r="B859" s="473"/>
      <c r="C859" s="542"/>
      <c r="D859" s="473"/>
    </row>
    <row r="860" spans="1:4" s="472" customFormat="1">
      <c r="A860" s="473"/>
      <c r="B860" s="473"/>
      <c r="C860" s="542"/>
      <c r="D860" s="473"/>
    </row>
    <row r="861" spans="1:4" s="472" customFormat="1">
      <c r="A861" s="473"/>
      <c r="B861" s="473"/>
      <c r="C861" s="542"/>
      <c r="D861" s="473"/>
    </row>
    <row r="862" spans="1:4" s="472" customFormat="1">
      <c r="A862" s="473"/>
      <c r="B862" s="473"/>
      <c r="C862" s="542"/>
      <c r="D862" s="473"/>
    </row>
    <row r="863" spans="1:4" s="472" customFormat="1">
      <c r="A863" s="473"/>
      <c r="B863" s="473"/>
      <c r="C863" s="542"/>
      <c r="D863" s="473"/>
    </row>
    <row r="864" spans="1:4" s="472" customFormat="1">
      <c r="A864" s="473"/>
      <c r="B864" s="473"/>
      <c r="C864" s="542"/>
      <c r="D864" s="473"/>
    </row>
    <row r="865" spans="1:4" s="472" customFormat="1">
      <c r="A865" s="473"/>
      <c r="B865" s="473"/>
      <c r="C865" s="542"/>
      <c r="D865" s="473"/>
    </row>
    <row r="866" spans="1:4" s="472" customFormat="1">
      <c r="A866" s="473"/>
      <c r="B866" s="473"/>
      <c r="C866" s="542"/>
      <c r="D866" s="473"/>
    </row>
    <row r="867" spans="1:4" s="472" customFormat="1">
      <c r="A867" s="473"/>
      <c r="B867" s="473"/>
      <c r="C867" s="542"/>
      <c r="D867" s="473"/>
    </row>
    <row r="868" spans="1:4" s="472" customFormat="1">
      <c r="A868" s="473"/>
      <c r="B868" s="473"/>
      <c r="C868" s="542"/>
      <c r="D868" s="473"/>
    </row>
  </sheetData>
  <mergeCells count="195">
    <mergeCell ref="B330:C330"/>
    <mergeCell ref="B332:C332"/>
    <mergeCell ref="A333:C333"/>
    <mergeCell ref="A334:C334"/>
    <mergeCell ref="A335:C335"/>
    <mergeCell ref="A336:C336"/>
    <mergeCell ref="B317:C317"/>
    <mergeCell ref="A319:A323"/>
    <mergeCell ref="B320:C320"/>
    <mergeCell ref="B321:B322"/>
    <mergeCell ref="B323:C323"/>
    <mergeCell ref="A324:A327"/>
    <mergeCell ref="B325:C325"/>
    <mergeCell ref="B327:C327"/>
    <mergeCell ref="B300:C300"/>
    <mergeCell ref="A302:A317"/>
    <mergeCell ref="B303:C303"/>
    <mergeCell ref="B305:C305"/>
    <mergeCell ref="B307:C307"/>
    <mergeCell ref="B308:B310"/>
    <mergeCell ref="B311:C311"/>
    <mergeCell ref="B313:C313"/>
    <mergeCell ref="B314:B316"/>
    <mergeCell ref="C314:C316"/>
    <mergeCell ref="B288:C288"/>
    <mergeCell ref="C289:C290"/>
    <mergeCell ref="B292:C292"/>
    <mergeCell ref="B294:C294"/>
    <mergeCell ref="B296:C296"/>
    <mergeCell ref="B298:C298"/>
    <mergeCell ref="B270:C270"/>
    <mergeCell ref="B272:C272"/>
    <mergeCell ref="B275:C275"/>
    <mergeCell ref="B277:C277"/>
    <mergeCell ref="A278:A285"/>
    <mergeCell ref="B279:C279"/>
    <mergeCell ref="B280:B284"/>
    <mergeCell ref="B285:C285"/>
    <mergeCell ref="B257:C257"/>
    <mergeCell ref="B259:C259"/>
    <mergeCell ref="B262:C262"/>
    <mergeCell ref="B264:C264"/>
    <mergeCell ref="B266:C266"/>
    <mergeCell ref="B268:C268"/>
    <mergeCell ref="B249:C249"/>
    <mergeCell ref="B250:C250"/>
    <mergeCell ref="A252:A255"/>
    <mergeCell ref="B253:C253"/>
    <mergeCell ref="B255:C255"/>
    <mergeCell ref="D232:D233"/>
    <mergeCell ref="D234:D235"/>
    <mergeCell ref="B236:C236"/>
    <mergeCell ref="B238:C238"/>
    <mergeCell ref="B239:B241"/>
    <mergeCell ref="C239:C241"/>
    <mergeCell ref="A222:A242"/>
    <mergeCell ref="B223:C223"/>
    <mergeCell ref="B225:C225"/>
    <mergeCell ref="B227:C227"/>
    <mergeCell ref="B229:C229"/>
    <mergeCell ref="B231:C231"/>
    <mergeCell ref="B232:B235"/>
    <mergeCell ref="B242:C242"/>
    <mergeCell ref="A244:A246"/>
    <mergeCell ref="B245:C245"/>
    <mergeCell ref="B246:C246"/>
    <mergeCell ref="B203:B204"/>
    <mergeCell ref="C203:C204"/>
    <mergeCell ref="B205:C205"/>
    <mergeCell ref="B206:B210"/>
    <mergeCell ref="D208:D209"/>
    <mergeCell ref="B212:C212"/>
    <mergeCell ref="A185:A220"/>
    <mergeCell ref="B186:C186"/>
    <mergeCell ref="B188:C188"/>
    <mergeCell ref="B190:C190"/>
    <mergeCell ref="B192:C192"/>
    <mergeCell ref="B194:C194"/>
    <mergeCell ref="B196:C196"/>
    <mergeCell ref="B198:C198"/>
    <mergeCell ref="B200:C200"/>
    <mergeCell ref="B202:C202"/>
    <mergeCell ref="B213:B217"/>
    <mergeCell ref="B218:C218"/>
    <mergeCell ref="A172:A183"/>
    <mergeCell ref="B173:C173"/>
    <mergeCell ref="B174:B177"/>
    <mergeCell ref="B178:C178"/>
    <mergeCell ref="B180:C180"/>
    <mergeCell ref="B181:B182"/>
    <mergeCell ref="B183:C183"/>
    <mergeCell ref="B159:C159"/>
    <mergeCell ref="A160:A169"/>
    <mergeCell ref="B161:C161"/>
    <mergeCell ref="B162:B168"/>
    <mergeCell ref="D162:D163"/>
    <mergeCell ref="D164:D165"/>
    <mergeCell ref="D166:D167"/>
    <mergeCell ref="B169:C169"/>
    <mergeCell ref="B148:C148"/>
    <mergeCell ref="B149:B154"/>
    <mergeCell ref="D149:D152"/>
    <mergeCell ref="D153:D154"/>
    <mergeCell ref="B155:C155"/>
    <mergeCell ref="B157:C157"/>
    <mergeCell ref="A132:A146"/>
    <mergeCell ref="B133:C133"/>
    <mergeCell ref="B134:B140"/>
    <mergeCell ref="C134:C139"/>
    <mergeCell ref="B141:C141"/>
    <mergeCell ref="B143:C143"/>
    <mergeCell ref="B144:B145"/>
    <mergeCell ref="B146:C146"/>
    <mergeCell ref="A122:A125"/>
    <mergeCell ref="B123:C123"/>
    <mergeCell ref="B125:C125"/>
    <mergeCell ref="A127:A131"/>
    <mergeCell ref="B128:C128"/>
    <mergeCell ref="B129:B130"/>
    <mergeCell ref="B131:C131"/>
    <mergeCell ref="B113:C113"/>
    <mergeCell ref="B115:C115"/>
    <mergeCell ref="A117:A120"/>
    <mergeCell ref="B118:C118"/>
    <mergeCell ref="B120:C120"/>
    <mergeCell ref="A97:A115"/>
    <mergeCell ref="B98:C98"/>
    <mergeCell ref="B99:B100"/>
    <mergeCell ref="C99:C100"/>
    <mergeCell ref="B101:C101"/>
    <mergeCell ref="B103:C103"/>
    <mergeCell ref="B105:C105"/>
    <mergeCell ref="B107:C107"/>
    <mergeCell ref="B108:B110"/>
    <mergeCell ref="C108:C109"/>
    <mergeCell ref="A83:A86"/>
    <mergeCell ref="B84:C84"/>
    <mergeCell ref="B86:C86"/>
    <mergeCell ref="A88:A95"/>
    <mergeCell ref="B89:C89"/>
    <mergeCell ref="B90:B92"/>
    <mergeCell ref="B93:C93"/>
    <mergeCell ref="B94:B95"/>
    <mergeCell ref="B111:C111"/>
    <mergeCell ref="D72:D73"/>
    <mergeCell ref="C74:C75"/>
    <mergeCell ref="B77:C77"/>
    <mergeCell ref="B78:B80"/>
    <mergeCell ref="B61:C61"/>
    <mergeCell ref="B63:C63"/>
    <mergeCell ref="B65:C65"/>
    <mergeCell ref="B67:C67"/>
    <mergeCell ref="B68:B70"/>
    <mergeCell ref="C68:C69"/>
    <mergeCell ref="A43:A46"/>
    <mergeCell ref="B44:C44"/>
    <mergeCell ref="B46:C46"/>
    <mergeCell ref="A48:A81"/>
    <mergeCell ref="B49:C49"/>
    <mergeCell ref="B50:B52"/>
    <mergeCell ref="B53:C53"/>
    <mergeCell ref="B55:C55"/>
    <mergeCell ref="B56:C56"/>
    <mergeCell ref="B59:C59"/>
    <mergeCell ref="B71:C71"/>
    <mergeCell ref="B72:B75"/>
    <mergeCell ref="B81:C81"/>
    <mergeCell ref="A37:A41"/>
    <mergeCell ref="B38:C38"/>
    <mergeCell ref="B39:B40"/>
    <mergeCell ref="B41:C41"/>
    <mergeCell ref="D21:D22"/>
    <mergeCell ref="B24:C24"/>
    <mergeCell ref="B25:B26"/>
    <mergeCell ref="B27:C27"/>
    <mergeCell ref="B29:C29"/>
    <mergeCell ref="B31:C31"/>
    <mergeCell ref="A11:A31"/>
    <mergeCell ref="B12:C12"/>
    <mergeCell ref="B13:B14"/>
    <mergeCell ref="C13:C14"/>
    <mergeCell ref="B15:C15"/>
    <mergeCell ref="B17:C17"/>
    <mergeCell ref="B18:B19"/>
    <mergeCell ref="B20:C20"/>
    <mergeCell ref="B21:B22"/>
    <mergeCell ref="D2:E3"/>
    <mergeCell ref="A4:D5"/>
    <mergeCell ref="A7:A8"/>
    <mergeCell ref="B7:B8"/>
    <mergeCell ref="C7:C8"/>
    <mergeCell ref="D7:D8"/>
    <mergeCell ref="E7:E8"/>
    <mergeCell ref="B33:C33"/>
    <mergeCell ref="B35:C3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Strona &amp;P z &amp;N</oddFooter>
  </headerFooter>
  <rowBreaks count="11" manualBreakCount="11">
    <brk id="35" max="4" man="1"/>
    <brk id="70" max="4" man="1"/>
    <brk id="105" max="4" man="1"/>
    <brk id="141" max="4" man="1"/>
    <brk id="159" max="4" man="1"/>
    <brk id="183" max="4" man="1"/>
    <brk id="210" max="4" man="1"/>
    <brk id="236" max="4" man="1"/>
    <brk id="277" max="4" man="1"/>
    <brk id="311" max="4" man="1"/>
    <brk id="33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K29"/>
  <sheetViews>
    <sheetView view="pageBreakPreview" zoomScaleNormal="100" zoomScaleSheetLayoutView="100" workbookViewId="0">
      <selection activeCell="G1" sqref="G1:K1"/>
    </sheetView>
  </sheetViews>
  <sheetFormatPr defaultRowHeight="12.75"/>
  <cols>
    <col min="1" max="1" width="9.140625" style="1"/>
    <col min="2" max="2" width="11" style="1" customWidth="1"/>
    <col min="3" max="3" width="11.140625" style="1" customWidth="1"/>
    <col min="4" max="4" width="9.140625" style="1"/>
    <col min="5" max="5" width="10.5703125" style="1" customWidth="1"/>
    <col min="6" max="6" width="11.42578125" style="1" customWidth="1"/>
    <col min="7" max="7" width="12.85546875" style="1" customWidth="1"/>
    <col min="8" max="8" width="18.85546875" style="1" customWidth="1"/>
    <col min="9" max="9" width="12" style="1" customWidth="1"/>
    <col min="10" max="10" width="13" style="1" customWidth="1"/>
    <col min="11" max="11" width="15.140625" style="1" customWidth="1"/>
    <col min="12" max="257" width="9.140625" style="1"/>
    <col min="258" max="258" width="11" style="1" customWidth="1"/>
    <col min="259" max="259" width="11.140625" style="1" customWidth="1"/>
    <col min="260" max="260" width="9.140625" style="1"/>
    <col min="261" max="261" width="10.5703125" style="1" customWidth="1"/>
    <col min="262" max="262" width="11.42578125" style="1" customWidth="1"/>
    <col min="263" max="263" width="12.85546875" style="1" customWidth="1"/>
    <col min="264" max="264" width="18.85546875" style="1" customWidth="1"/>
    <col min="265" max="265" width="12" style="1" customWidth="1"/>
    <col min="266" max="266" width="13" style="1" customWidth="1"/>
    <col min="267" max="267" width="15.140625" style="1" customWidth="1"/>
    <col min="268" max="513" width="9.140625" style="1"/>
    <col min="514" max="514" width="11" style="1" customWidth="1"/>
    <col min="515" max="515" width="11.140625" style="1" customWidth="1"/>
    <col min="516" max="516" width="9.140625" style="1"/>
    <col min="517" max="517" width="10.5703125" style="1" customWidth="1"/>
    <col min="518" max="518" width="11.42578125" style="1" customWidth="1"/>
    <col min="519" max="519" width="12.85546875" style="1" customWidth="1"/>
    <col min="520" max="520" width="18.85546875" style="1" customWidth="1"/>
    <col min="521" max="521" width="12" style="1" customWidth="1"/>
    <col min="522" max="522" width="13" style="1" customWidth="1"/>
    <col min="523" max="523" width="15.140625" style="1" customWidth="1"/>
    <col min="524" max="769" width="9.140625" style="1"/>
    <col min="770" max="770" width="11" style="1" customWidth="1"/>
    <col min="771" max="771" width="11.140625" style="1" customWidth="1"/>
    <col min="772" max="772" width="9.140625" style="1"/>
    <col min="773" max="773" width="10.5703125" style="1" customWidth="1"/>
    <col min="774" max="774" width="11.42578125" style="1" customWidth="1"/>
    <col min="775" max="775" width="12.85546875" style="1" customWidth="1"/>
    <col min="776" max="776" width="18.85546875" style="1" customWidth="1"/>
    <col min="777" max="777" width="12" style="1" customWidth="1"/>
    <col min="778" max="778" width="13" style="1" customWidth="1"/>
    <col min="779" max="779" width="15.140625" style="1" customWidth="1"/>
    <col min="780" max="1025" width="9.140625" style="1"/>
    <col min="1026" max="1026" width="11" style="1" customWidth="1"/>
    <col min="1027" max="1027" width="11.140625" style="1" customWidth="1"/>
    <col min="1028" max="1028" width="9.140625" style="1"/>
    <col min="1029" max="1029" width="10.5703125" style="1" customWidth="1"/>
    <col min="1030" max="1030" width="11.42578125" style="1" customWidth="1"/>
    <col min="1031" max="1031" width="12.85546875" style="1" customWidth="1"/>
    <col min="1032" max="1032" width="18.85546875" style="1" customWidth="1"/>
    <col min="1033" max="1033" width="12" style="1" customWidth="1"/>
    <col min="1034" max="1034" width="13" style="1" customWidth="1"/>
    <col min="1035" max="1035" width="15.140625" style="1" customWidth="1"/>
    <col min="1036" max="1281" width="9.140625" style="1"/>
    <col min="1282" max="1282" width="11" style="1" customWidth="1"/>
    <col min="1283" max="1283" width="11.140625" style="1" customWidth="1"/>
    <col min="1284" max="1284" width="9.140625" style="1"/>
    <col min="1285" max="1285" width="10.5703125" style="1" customWidth="1"/>
    <col min="1286" max="1286" width="11.42578125" style="1" customWidth="1"/>
    <col min="1287" max="1287" width="12.85546875" style="1" customWidth="1"/>
    <col min="1288" max="1288" width="18.85546875" style="1" customWidth="1"/>
    <col min="1289" max="1289" width="12" style="1" customWidth="1"/>
    <col min="1290" max="1290" width="13" style="1" customWidth="1"/>
    <col min="1291" max="1291" width="15.140625" style="1" customWidth="1"/>
    <col min="1292" max="1537" width="9.140625" style="1"/>
    <col min="1538" max="1538" width="11" style="1" customWidth="1"/>
    <col min="1539" max="1539" width="11.140625" style="1" customWidth="1"/>
    <col min="1540" max="1540" width="9.140625" style="1"/>
    <col min="1541" max="1541" width="10.5703125" style="1" customWidth="1"/>
    <col min="1542" max="1542" width="11.42578125" style="1" customWidth="1"/>
    <col min="1543" max="1543" width="12.85546875" style="1" customWidth="1"/>
    <col min="1544" max="1544" width="18.85546875" style="1" customWidth="1"/>
    <col min="1545" max="1545" width="12" style="1" customWidth="1"/>
    <col min="1546" max="1546" width="13" style="1" customWidth="1"/>
    <col min="1547" max="1547" width="15.140625" style="1" customWidth="1"/>
    <col min="1548" max="1793" width="9.140625" style="1"/>
    <col min="1794" max="1794" width="11" style="1" customWidth="1"/>
    <col min="1795" max="1795" width="11.140625" style="1" customWidth="1"/>
    <col min="1796" max="1796" width="9.140625" style="1"/>
    <col min="1797" max="1797" width="10.5703125" style="1" customWidth="1"/>
    <col min="1798" max="1798" width="11.42578125" style="1" customWidth="1"/>
    <col min="1799" max="1799" width="12.85546875" style="1" customWidth="1"/>
    <col min="1800" max="1800" width="18.85546875" style="1" customWidth="1"/>
    <col min="1801" max="1801" width="12" style="1" customWidth="1"/>
    <col min="1802" max="1802" width="13" style="1" customWidth="1"/>
    <col min="1803" max="1803" width="15.140625" style="1" customWidth="1"/>
    <col min="1804" max="2049" width="9.140625" style="1"/>
    <col min="2050" max="2050" width="11" style="1" customWidth="1"/>
    <col min="2051" max="2051" width="11.140625" style="1" customWidth="1"/>
    <col min="2052" max="2052" width="9.140625" style="1"/>
    <col min="2053" max="2053" width="10.5703125" style="1" customWidth="1"/>
    <col min="2054" max="2054" width="11.42578125" style="1" customWidth="1"/>
    <col min="2055" max="2055" width="12.85546875" style="1" customWidth="1"/>
    <col min="2056" max="2056" width="18.85546875" style="1" customWidth="1"/>
    <col min="2057" max="2057" width="12" style="1" customWidth="1"/>
    <col min="2058" max="2058" width="13" style="1" customWidth="1"/>
    <col min="2059" max="2059" width="15.140625" style="1" customWidth="1"/>
    <col min="2060" max="2305" width="9.140625" style="1"/>
    <col min="2306" max="2306" width="11" style="1" customWidth="1"/>
    <col min="2307" max="2307" width="11.140625" style="1" customWidth="1"/>
    <col min="2308" max="2308" width="9.140625" style="1"/>
    <col min="2309" max="2309" width="10.5703125" style="1" customWidth="1"/>
    <col min="2310" max="2310" width="11.42578125" style="1" customWidth="1"/>
    <col min="2311" max="2311" width="12.85546875" style="1" customWidth="1"/>
    <col min="2312" max="2312" width="18.85546875" style="1" customWidth="1"/>
    <col min="2313" max="2313" width="12" style="1" customWidth="1"/>
    <col min="2314" max="2314" width="13" style="1" customWidth="1"/>
    <col min="2315" max="2315" width="15.140625" style="1" customWidth="1"/>
    <col min="2316" max="2561" width="9.140625" style="1"/>
    <col min="2562" max="2562" width="11" style="1" customWidth="1"/>
    <col min="2563" max="2563" width="11.140625" style="1" customWidth="1"/>
    <col min="2564" max="2564" width="9.140625" style="1"/>
    <col min="2565" max="2565" width="10.5703125" style="1" customWidth="1"/>
    <col min="2566" max="2566" width="11.42578125" style="1" customWidth="1"/>
    <col min="2567" max="2567" width="12.85546875" style="1" customWidth="1"/>
    <col min="2568" max="2568" width="18.85546875" style="1" customWidth="1"/>
    <col min="2569" max="2569" width="12" style="1" customWidth="1"/>
    <col min="2570" max="2570" width="13" style="1" customWidth="1"/>
    <col min="2571" max="2571" width="15.140625" style="1" customWidth="1"/>
    <col min="2572" max="2817" width="9.140625" style="1"/>
    <col min="2818" max="2818" width="11" style="1" customWidth="1"/>
    <col min="2819" max="2819" width="11.140625" style="1" customWidth="1"/>
    <col min="2820" max="2820" width="9.140625" style="1"/>
    <col min="2821" max="2821" width="10.5703125" style="1" customWidth="1"/>
    <col min="2822" max="2822" width="11.42578125" style="1" customWidth="1"/>
    <col min="2823" max="2823" width="12.85546875" style="1" customWidth="1"/>
    <col min="2824" max="2824" width="18.85546875" style="1" customWidth="1"/>
    <col min="2825" max="2825" width="12" style="1" customWidth="1"/>
    <col min="2826" max="2826" width="13" style="1" customWidth="1"/>
    <col min="2827" max="2827" width="15.140625" style="1" customWidth="1"/>
    <col min="2828" max="3073" width="9.140625" style="1"/>
    <col min="3074" max="3074" width="11" style="1" customWidth="1"/>
    <col min="3075" max="3075" width="11.140625" style="1" customWidth="1"/>
    <col min="3076" max="3076" width="9.140625" style="1"/>
    <col min="3077" max="3077" width="10.5703125" style="1" customWidth="1"/>
    <col min="3078" max="3078" width="11.42578125" style="1" customWidth="1"/>
    <col min="3079" max="3079" width="12.85546875" style="1" customWidth="1"/>
    <col min="3080" max="3080" width="18.85546875" style="1" customWidth="1"/>
    <col min="3081" max="3081" width="12" style="1" customWidth="1"/>
    <col min="3082" max="3082" width="13" style="1" customWidth="1"/>
    <col min="3083" max="3083" width="15.140625" style="1" customWidth="1"/>
    <col min="3084" max="3329" width="9.140625" style="1"/>
    <col min="3330" max="3330" width="11" style="1" customWidth="1"/>
    <col min="3331" max="3331" width="11.140625" style="1" customWidth="1"/>
    <col min="3332" max="3332" width="9.140625" style="1"/>
    <col min="3333" max="3333" width="10.5703125" style="1" customWidth="1"/>
    <col min="3334" max="3334" width="11.42578125" style="1" customWidth="1"/>
    <col min="3335" max="3335" width="12.85546875" style="1" customWidth="1"/>
    <col min="3336" max="3336" width="18.85546875" style="1" customWidth="1"/>
    <col min="3337" max="3337" width="12" style="1" customWidth="1"/>
    <col min="3338" max="3338" width="13" style="1" customWidth="1"/>
    <col min="3339" max="3339" width="15.140625" style="1" customWidth="1"/>
    <col min="3340" max="3585" width="9.140625" style="1"/>
    <col min="3586" max="3586" width="11" style="1" customWidth="1"/>
    <col min="3587" max="3587" width="11.140625" style="1" customWidth="1"/>
    <col min="3588" max="3588" width="9.140625" style="1"/>
    <col min="3589" max="3589" width="10.5703125" style="1" customWidth="1"/>
    <col min="3590" max="3590" width="11.42578125" style="1" customWidth="1"/>
    <col min="3591" max="3591" width="12.85546875" style="1" customWidth="1"/>
    <col min="3592" max="3592" width="18.85546875" style="1" customWidth="1"/>
    <col min="3593" max="3593" width="12" style="1" customWidth="1"/>
    <col min="3594" max="3594" width="13" style="1" customWidth="1"/>
    <col min="3595" max="3595" width="15.140625" style="1" customWidth="1"/>
    <col min="3596" max="3841" width="9.140625" style="1"/>
    <col min="3842" max="3842" width="11" style="1" customWidth="1"/>
    <col min="3843" max="3843" width="11.140625" style="1" customWidth="1"/>
    <col min="3844" max="3844" width="9.140625" style="1"/>
    <col min="3845" max="3845" width="10.5703125" style="1" customWidth="1"/>
    <col min="3846" max="3846" width="11.42578125" style="1" customWidth="1"/>
    <col min="3847" max="3847" width="12.85546875" style="1" customWidth="1"/>
    <col min="3848" max="3848" width="18.85546875" style="1" customWidth="1"/>
    <col min="3849" max="3849" width="12" style="1" customWidth="1"/>
    <col min="3850" max="3850" width="13" style="1" customWidth="1"/>
    <col min="3851" max="3851" width="15.140625" style="1" customWidth="1"/>
    <col min="3852" max="4097" width="9.140625" style="1"/>
    <col min="4098" max="4098" width="11" style="1" customWidth="1"/>
    <col min="4099" max="4099" width="11.140625" style="1" customWidth="1"/>
    <col min="4100" max="4100" width="9.140625" style="1"/>
    <col min="4101" max="4101" width="10.5703125" style="1" customWidth="1"/>
    <col min="4102" max="4102" width="11.42578125" style="1" customWidth="1"/>
    <col min="4103" max="4103" width="12.85546875" style="1" customWidth="1"/>
    <col min="4104" max="4104" width="18.85546875" style="1" customWidth="1"/>
    <col min="4105" max="4105" width="12" style="1" customWidth="1"/>
    <col min="4106" max="4106" width="13" style="1" customWidth="1"/>
    <col min="4107" max="4107" width="15.140625" style="1" customWidth="1"/>
    <col min="4108" max="4353" width="9.140625" style="1"/>
    <col min="4354" max="4354" width="11" style="1" customWidth="1"/>
    <col min="4355" max="4355" width="11.140625" style="1" customWidth="1"/>
    <col min="4356" max="4356" width="9.140625" style="1"/>
    <col min="4357" max="4357" width="10.5703125" style="1" customWidth="1"/>
    <col min="4358" max="4358" width="11.42578125" style="1" customWidth="1"/>
    <col min="4359" max="4359" width="12.85546875" style="1" customWidth="1"/>
    <col min="4360" max="4360" width="18.85546875" style="1" customWidth="1"/>
    <col min="4361" max="4361" width="12" style="1" customWidth="1"/>
    <col min="4362" max="4362" width="13" style="1" customWidth="1"/>
    <col min="4363" max="4363" width="15.140625" style="1" customWidth="1"/>
    <col min="4364" max="4609" width="9.140625" style="1"/>
    <col min="4610" max="4610" width="11" style="1" customWidth="1"/>
    <col min="4611" max="4611" width="11.140625" style="1" customWidth="1"/>
    <col min="4612" max="4612" width="9.140625" style="1"/>
    <col min="4613" max="4613" width="10.5703125" style="1" customWidth="1"/>
    <col min="4614" max="4614" width="11.42578125" style="1" customWidth="1"/>
    <col min="4615" max="4615" width="12.85546875" style="1" customWidth="1"/>
    <col min="4616" max="4616" width="18.85546875" style="1" customWidth="1"/>
    <col min="4617" max="4617" width="12" style="1" customWidth="1"/>
    <col min="4618" max="4618" width="13" style="1" customWidth="1"/>
    <col min="4619" max="4619" width="15.140625" style="1" customWidth="1"/>
    <col min="4620" max="4865" width="9.140625" style="1"/>
    <col min="4866" max="4866" width="11" style="1" customWidth="1"/>
    <col min="4867" max="4867" width="11.140625" style="1" customWidth="1"/>
    <col min="4868" max="4868" width="9.140625" style="1"/>
    <col min="4869" max="4869" width="10.5703125" style="1" customWidth="1"/>
    <col min="4870" max="4870" width="11.42578125" style="1" customWidth="1"/>
    <col min="4871" max="4871" width="12.85546875" style="1" customWidth="1"/>
    <col min="4872" max="4872" width="18.85546875" style="1" customWidth="1"/>
    <col min="4873" max="4873" width="12" style="1" customWidth="1"/>
    <col min="4874" max="4874" width="13" style="1" customWidth="1"/>
    <col min="4875" max="4875" width="15.140625" style="1" customWidth="1"/>
    <col min="4876" max="5121" width="9.140625" style="1"/>
    <col min="5122" max="5122" width="11" style="1" customWidth="1"/>
    <col min="5123" max="5123" width="11.140625" style="1" customWidth="1"/>
    <col min="5124" max="5124" width="9.140625" style="1"/>
    <col min="5125" max="5125" width="10.5703125" style="1" customWidth="1"/>
    <col min="5126" max="5126" width="11.42578125" style="1" customWidth="1"/>
    <col min="5127" max="5127" width="12.85546875" style="1" customWidth="1"/>
    <col min="5128" max="5128" width="18.85546875" style="1" customWidth="1"/>
    <col min="5129" max="5129" width="12" style="1" customWidth="1"/>
    <col min="5130" max="5130" width="13" style="1" customWidth="1"/>
    <col min="5131" max="5131" width="15.140625" style="1" customWidth="1"/>
    <col min="5132" max="5377" width="9.140625" style="1"/>
    <col min="5378" max="5378" width="11" style="1" customWidth="1"/>
    <col min="5379" max="5379" width="11.140625" style="1" customWidth="1"/>
    <col min="5380" max="5380" width="9.140625" style="1"/>
    <col min="5381" max="5381" width="10.5703125" style="1" customWidth="1"/>
    <col min="5382" max="5382" width="11.42578125" style="1" customWidth="1"/>
    <col min="5383" max="5383" width="12.85546875" style="1" customWidth="1"/>
    <col min="5384" max="5384" width="18.85546875" style="1" customWidth="1"/>
    <col min="5385" max="5385" width="12" style="1" customWidth="1"/>
    <col min="5386" max="5386" width="13" style="1" customWidth="1"/>
    <col min="5387" max="5387" width="15.140625" style="1" customWidth="1"/>
    <col min="5388" max="5633" width="9.140625" style="1"/>
    <col min="5634" max="5634" width="11" style="1" customWidth="1"/>
    <col min="5635" max="5635" width="11.140625" style="1" customWidth="1"/>
    <col min="5636" max="5636" width="9.140625" style="1"/>
    <col min="5637" max="5637" width="10.5703125" style="1" customWidth="1"/>
    <col min="5638" max="5638" width="11.42578125" style="1" customWidth="1"/>
    <col min="5639" max="5639" width="12.85546875" style="1" customWidth="1"/>
    <col min="5640" max="5640" width="18.85546875" style="1" customWidth="1"/>
    <col min="5641" max="5641" width="12" style="1" customWidth="1"/>
    <col min="5642" max="5642" width="13" style="1" customWidth="1"/>
    <col min="5643" max="5643" width="15.140625" style="1" customWidth="1"/>
    <col min="5644" max="5889" width="9.140625" style="1"/>
    <col min="5890" max="5890" width="11" style="1" customWidth="1"/>
    <col min="5891" max="5891" width="11.140625" style="1" customWidth="1"/>
    <col min="5892" max="5892" width="9.140625" style="1"/>
    <col min="5893" max="5893" width="10.5703125" style="1" customWidth="1"/>
    <col min="5894" max="5894" width="11.42578125" style="1" customWidth="1"/>
    <col min="5895" max="5895" width="12.85546875" style="1" customWidth="1"/>
    <col min="5896" max="5896" width="18.85546875" style="1" customWidth="1"/>
    <col min="5897" max="5897" width="12" style="1" customWidth="1"/>
    <col min="5898" max="5898" width="13" style="1" customWidth="1"/>
    <col min="5899" max="5899" width="15.140625" style="1" customWidth="1"/>
    <col min="5900" max="6145" width="9.140625" style="1"/>
    <col min="6146" max="6146" width="11" style="1" customWidth="1"/>
    <col min="6147" max="6147" width="11.140625" style="1" customWidth="1"/>
    <col min="6148" max="6148" width="9.140625" style="1"/>
    <col min="6149" max="6149" width="10.5703125" style="1" customWidth="1"/>
    <col min="6150" max="6150" width="11.42578125" style="1" customWidth="1"/>
    <col min="6151" max="6151" width="12.85546875" style="1" customWidth="1"/>
    <col min="6152" max="6152" width="18.85546875" style="1" customWidth="1"/>
    <col min="6153" max="6153" width="12" style="1" customWidth="1"/>
    <col min="6154" max="6154" width="13" style="1" customWidth="1"/>
    <col min="6155" max="6155" width="15.140625" style="1" customWidth="1"/>
    <col min="6156" max="6401" width="9.140625" style="1"/>
    <col min="6402" max="6402" width="11" style="1" customWidth="1"/>
    <col min="6403" max="6403" width="11.140625" style="1" customWidth="1"/>
    <col min="6404" max="6404" width="9.140625" style="1"/>
    <col min="6405" max="6405" width="10.5703125" style="1" customWidth="1"/>
    <col min="6406" max="6406" width="11.42578125" style="1" customWidth="1"/>
    <col min="6407" max="6407" width="12.85546875" style="1" customWidth="1"/>
    <col min="6408" max="6408" width="18.85546875" style="1" customWidth="1"/>
    <col min="6409" max="6409" width="12" style="1" customWidth="1"/>
    <col min="6410" max="6410" width="13" style="1" customWidth="1"/>
    <col min="6411" max="6411" width="15.140625" style="1" customWidth="1"/>
    <col min="6412" max="6657" width="9.140625" style="1"/>
    <col min="6658" max="6658" width="11" style="1" customWidth="1"/>
    <col min="6659" max="6659" width="11.140625" style="1" customWidth="1"/>
    <col min="6660" max="6660" width="9.140625" style="1"/>
    <col min="6661" max="6661" width="10.5703125" style="1" customWidth="1"/>
    <col min="6662" max="6662" width="11.42578125" style="1" customWidth="1"/>
    <col min="6663" max="6663" width="12.85546875" style="1" customWidth="1"/>
    <col min="6664" max="6664" width="18.85546875" style="1" customWidth="1"/>
    <col min="6665" max="6665" width="12" style="1" customWidth="1"/>
    <col min="6666" max="6666" width="13" style="1" customWidth="1"/>
    <col min="6667" max="6667" width="15.140625" style="1" customWidth="1"/>
    <col min="6668" max="6913" width="9.140625" style="1"/>
    <col min="6914" max="6914" width="11" style="1" customWidth="1"/>
    <col min="6915" max="6915" width="11.140625" style="1" customWidth="1"/>
    <col min="6916" max="6916" width="9.140625" style="1"/>
    <col min="6917" max="6917" width="10.5703125" style="1" customWidth="1"/>
    <col min="6918" max="6918" width="11.42578125" style="1" customWidth="1"/>
    <col min="6919" max="6919" width="12.85546875" style="1" customWidth="1"/>
    <col min="6920" max="6920" width="18.85546875" style="1" customWidth="1"/>
    <col min="6921" max="6921" width="12" style="1" customWidth="1"/>
    <col min="6922" max="6922" width="13" style="1" customWidth="1"/>
    <col min="6923" max="6923" width="15.140625" style="1" customWidth="1"/>
    <col min="6924" max="7169" width="9.140625" style="1"/>
    <col min="7170" max="7170" width="11" style="1" customWidth="1"/>
    <col min="7171" max="7171" width="11.140625" style="1" customWidth="1"/>
    <col min="7172" max="7172" width="9.140625" style="1"/>
    <col min="7173" max="7173" width="10.5703125" style="1" customWidth="1"/>
    <col min="7174" max="7174" width="11.42578125" style="1" customWidth="1"/>
    <col min="7175" max="7175" width="12.85546875" style="1" customWidth="1"/>
    <col min="7176" max="7176" width="18.85546875" style="1" customWidth="1"/>
    <col min="7177" max="7177" width="12" style="1" customWidth="1"/>
    <col min="7178" max="7178" width="13" style="1" customWidth="1"/>
    <col min="7179" max="7179" width="15.140625" style="1" customWidth="1"/>
    <col min="7180" max="7425" width="9.140625" style="1"/>
    <col min="7426" max="7426" width="11" style="1" customWidth="1"/>
    <col min="7427" max="7427" width="11.140625" style="1" customWidth="1"/>
    <col min="7428" max="7428" width="9.140625" style="1"/>
    <col min="7429" max="7429" width="10.5703125" style="1" customWidth="1"/>
    <col min="7430" max="7430" width="11.42578125" style="1" customWidth="1"/>
    <col min="7431" max="7431" width="12.85546875" style="1" customWidth="1"/>
    <col min="7432" max="7432" width="18.85546875" style="1" customWidth="1"/>
    <col min="7433" max="7433" width="12" style="1" customWidth="1"/>
    <col min="7434" max="7434" width="13" style="1" customWidth="1"/>
    <col min="7435" max="7435" width="15.140625" style="1" customWidth="1"/>
    <col min="7436" max="7681" width="9.140625" style="1"/>
    <col min="7682" max="7682" width="11" style="1" customWidth="1"/>
    <col min="7683" max="7683" width="11.140625" style="1" customWidth="1"/>
    <col min="7684" max="7684" width="9.140625" style="1"/>
    <col min="7685" max="7685" width="10.5703125" style="1" customWidth="1"/>
    <col min="7686" max="7686" width="11.42578125" style="1" customWidth="1"/>
    <col min="7687" max="7687" width="12.85546875" style="1" customWidth="1"/>
    <col min="7688" max="7688" width="18.85546875" style="1" customWidth="1"/>
    <col min="7689" max="7689" width="12" style="1" customWidth="1"/>
    <col min="7690" max="7690" width="13" style="1" customWidth="1"/>
    <col min="7691" max="7691" width="15.140625" style="1" customWidth="1"/>
    <col min="7692" max="7937" width="9.140625" style="1"/>
    <col min="7938" max="7938" width="11" style="1" customWidth="1"/>
    <col min="7939" max="7939" width="11.140625" style="1" customWidth="1"/>
    <col min="7940" max="7940" width="9.140625" style="1"/>
    <col min="7941" max="7941" width="10.5703125" style="1" customWidth="1"/>
    <col min="7942" max="7942" width="11.42578125" style="1" customWidth="1"/>
    <col min="7943" max="7943" width="12.85546875" style="1" customWidth="1"/>
    <col min="7944" max="7944" width="18.85546875" style="1" customWidth="1"/>
    <col min="7945" max="7945" width="12" style="1" customWidth="1"/>
    <col min="7946" max="7946" width="13" style="1" customWidth="1"/>
    <col min="7947" max="7947" width="15.140625" style="1" customWidth="1"/>
    <col min="7948" max="8193" width="9.140625" style="1"/>
    <col min="8194" max="8194" width="11" style="1" customWidth="1"/>
    <col min="8195" max="8195" width="11.140625" style="1" customWidth="1"/>
    <col min="8196" max="8196" width="9.140625" style="1"/>
    <col min="8197" max="8197" width="10.5703125" style="1" customWidth="1"/>
    <col min="8198" max="8198" width="11.42578125" style="1" customWidth="1"/>
    <col min="8199" max="8199" width="12.85546875" style="1" customWidth="1"/>
    <col min="8200" max="8200" width="18.85546875" style="1" customWidth="1"/>
    <col min="8201" max="8201" width="12" style="1" customWidth="1"/>
    <col min="8202" max="8202" width="13" style="1" customWidth="1"/>
    <col min="8203" max="8203" width="15.140625" style="1" customWidth="1"/>
    <col min="8204" max="8449" width="9.140625" style="1"/>
    <col min="8450" max="8450" width="11" style="1" customWidth="1"/>
    <col min="8451" max="8451" width="11.140625" style="1" customWidth="1"/>
    <col min="8452" max="8452" width="9.140625" style="1"/>
    <col min="8453" max="8453" width="10.5703125" style="1" customWidth="1"/>
    <col min="8454" max="8454" width="11.42578125" style="1" customWidth="1"/>
    <col min="8455" max="8455" width="12.85546875" style="1" customWidth="1"/>
    <col min="8456" max="8456" width="18.85546875" style="1" customWidth="1"/>
    <col min="8457" max="8457" width="12" style="1" customWidth="1"/>
    <col min="8458" max="8458" width="13" style="1" customWidth="1"/>
    <col min="8459" max="8459" width="15.140625" style="1" customWidth="1"/>
    <col min="8460" max="8705" width="9.140625" style="1"/>
    <col min="8706" max="8706" width="11" style="1" customWidth="1"/>
    <col min="8707" max="8707" width="11.140625" style="1" customWidth="1"/>
    <col min="8708" max="8708" width="9.140625" style="1"/>
    <col min="8709" max="8709" width="10.5703125" style="1" customWidth="1"/>
    <col min="8710" max="8710" width="11.42578125" style="1" customWidth="1"/>
    <col min="8711" max="8711" width="12.85546875" style="1" customWidth="1"/>
    <col min="8712" max="8712" width="18.85546875" style="1" customWidth="1"/>
    <col min="8713" max="8713" width="12" style="1" customWidth="1"/>
    <col min="8714" max="8714" width="13" style="1" customWidth="1"/>
    <col min="8715" max="8715" width="15.140625" style="1" customWidth="1"/>
    <col min="8716" max="8961" width="9.140625" style="1"/>
    <col min="8962" max="8962" width="11" style="1" customWidth="1"/>
    <col min="8963" max="8963" width="11.140625" style="1" customWidth="1"/>
    <col min="8964" max="8964" width="9.140625" style="1"/>
    <col min="8965" max="8965" width="10.5703125" style="1" customWidth="1"/>
    <col min="8966" max="8966" width="11.42578125" style="1" customWidth="1"/>
    <col min="8967" max="8967" width="12.85546875" style="1" customWidth="1"/>
    <col min="8968" max="8968" width="18.85546875" style="1" customWidth="1"/>
    <col min="8969" max="8969" width="12" style="1" customWidth="1"/>
    <col min="8970" max="8970" width="13" style="1" customWidth="1"/>
    <col min="8971" max="8971" width="15.140625" style="1" customWidth="1"/>
    <col min="8972" max="9217" width="9.140625" style="1"/>
    <col min="9218" max="9218" width="11" style="1" customWidth="1"/>
    <col min="9219" max="9219" width="11.140625" style="1" customWidth="1"/>
    <col min="9220" max="9220" width="9.140625" style="1"/>
    <col min="9221" max="9221" width="10.5703125" style="1" customWidth="1"/>
    <col min="9222" max="9222" width="11.42578125" style="1" customWidth="1"/>
    <col min="9223" max="9223" width="12.85546875" style="1" customWidth="1"/>
    <col min="9224" max="9224" width="18.85546875" style="1" customWidth="1"/>
    <col min="9225" max="9225" width="12" style="1" customWidth="1"/>
    <col min="9226" max="9226" width="13" style="1" customWidth="1"/>
    <col min="9227" max="9227" width="15.140625" style="1" customWidth="1"/>
    <col min="9228" max="9473" width="9.140625" style="1"/>
    <col min="9474" max="9474" width="11" style="1" customWidth="1"/>
    <col min="9475" max="9475" width="11.140625" style="1" customWidth="1"/>
    <col min="9476" max="9476" width="9.140625" style="1"/>
    <col min="9477" max="9477" width="10.5703125" style="1" customWidth="1"/>
    <col min="9478" max="9478" width="11.42578125" style="1" customWidth="1"/>
    <col min="9479" max="9479" width="12.85546875" style="1" customWidth="1"/>
    <col min="9480" max="9480" width="18.85546875" style="1" customWidth="1"/>
    <col min="9481" max="9481" width="12" style="1" customWidth="1"/>
    <col min="9482" max="9482" width="13" style="1" customWidth="1"/>
    <col min="9483" max="9483" width="15.140625" style="1" customWidth="1"/>
    <col min="9484" max="9729" width="9.140625" style="1"/>
    <col min="9730" max="9730" width="11" style="1" customWidth="1"/>
    <col min="9731" max="9731" width="11.140625" style="1" customWidth="1"/>
    <col min="9732" max="9732" width="9.140625" style="1"/>
    <col min="9733" max="9733" width="10.5703125" style="1" customWidth="1"/>
    <col min="9734" max="9734" width="11.42578125" style="1" customWidth="1"/>
    <col min="9735" max="9735" width="12.85546875" style="1" customWidth="1"/>
    <col min="9736" max="9736" width="18.85546875" style="1" customWidth="1"/>
    <col min="9737" max="9737" width="12" style="1" customWidth="1"/>
    <col min="9738" max="9738" width="13" style="1" customWidth="1"/>
    <col min="9739" max="9739" width="15.140625" style="1" customWidth="1"/>
    <col min="9740" max="9985" width="9.140625" style="1"/>
    <col min="9986" max="9986" width="11" style="1" customWidth="1"/>
    <col min="9987" max="9987" width="11.140625" style="1" customWidth="1"/>
    <col min="9988" max="9988" width="9.140625" style="1"/>
    <col min="9989" max="9989" width="10.5703125" style="1" customWidth="1"/>
    <col min="9990" max="9990" width="11.42578125" style="1" customWidth="1"/>
    <col min="9991" max="9991" width="12.85546875" style="1" customWidth="1"/>
    <col min="9992" max="9992" width="18.85546875" style="1" customWidth="1"/>
    <col min="9993" max="9993" width="12" style="1" customWidth="1"/>
    <col min="9994" max="9994" width="13" style="1" customWidth="1"/>
    <col min="9995" max="9995" width="15.140625" style="1" customWidth="1"/>
    <col min="9996" max="10241" width="9.140625" style="1"/>
    <col min="10242" max="10242" width="11" style="1" customWidth="1"/>
    <col min="10243" max="10243" width="11.140625" style="1" customWidth="1"/>
    <col min="10244" max="10244" width="9.140625" style="1"/>
    <col min="10245" max="10245" width="10.5703125" style="1" customWidth="1"/>
    <col min="10246" max="10246" width="11.42578125" style="1" customWidth="1"/>
    <col min="10247" max="10247" width="12.85546875" style="1" customWidth="1"/>
    <col min="10248" max="10248" width="18.85546875" style="1" customWidth="1"/>
    <col min="10249" max="10249" width="12" style="1" customWidth="1"/>
    <col min="10250" max="10250" width="13" style="1" customWidth="1"/>
    <col min="10251" max="10251" width="15.140625" style="1" customWidth="1"/>
    <col min="10252" max="10497" width="9.140625" style="1"/>
    <col min="10498" max="10498" width="11" style="1" customWidth="1"/>
    <col min="10499" max="10499" width="11.140625" style="1" customWidth="1"/>
    <col min="10500" max="10500" width="9.140625" style="1"/>
    <col min="10501" max="10501" width="10.5703125" style="1" customWidth="1"/>
    <col min="10502" max="10502" width="11.42578125" style="1" customWidth="1"/>
    <col min="10503" max="10503" width="12.85546875" style="1" customWidth="1"/>
    <col min="10504" max="10504" width="18.85546875" style="1" customWidth="1"/>
    <col min="10505" max="10505" width="12" style="1" customWidth="1"/>
    <col min="10506" max="10506" width="13" style="1" customWidth="1"/>
    <col min="10507" max="10507" width="15.140625" style="1" customWidth="1"/>
    <col min="10508" max="10753" width="9.140625" style="1"/>
    <col min="10754" max="10754" width="11" style="1" customWidth="1"/>
    <col min="10755" max="10755" width="11.140625" style="1" customWidth="1"/>
    <col min="10756" max="10756" width="9.140625" style="1"/>
    <col min="10757" max="10757" width="10.5703125" style="1" customWidth="1"/>
    <col min="10758" max="10758" width="11.42578125" style="1" customWidth="1"/>
    <col min="10759" max="10759" width="12.85546875" style="1" customWidth="1"/>
    <col min="10760" max="10760" width="18.85546875" style="1" customWidth="1"/>
    <col min="10761" max="10761" width="12" style="1" customWidth="1"/>
    <col min="10762" max="10762" width="13" style="1" customWidth="1"/>
    <col min="10763" max="10763" width="15.140625" style="1" customWidth="1"/>
    <col min="10764" max="11009" width="9.140625" style="1"/>
    <col min="11010" max="11010" width="11" style="1" customWidth="1"/>
    <col min="11011" max="11011" width="11.140625" style="1" customWidth="1"/>
    <col min="11012" max="11012" width="9.140625" style="1"/>
    <col min="11013" max="11013" width="10.5703125" style="1" customWidth="1"/>
    <col min="11014" max="11014" width="11.42578125" style="1" customWidth="1"/>
    <col min="11015" max="11015" width="12.85546875" style="1" customWidth="1"/>
    <col min="11016" max="11016" width="18.85546875" style="1" customWidth="1"/>
    <col min="11017" max="11017" width="12" style="1" customWidth="1"/>
    <col min="11018" max="11018" width="13" style="1" customWidth="1"/>
    <col min="11019" max="11019" width="15.140625" style="1" customWidth="1"/>
    <col min="11020" max="11265" width="9.140625" style="1"/>
    <col min="11266" max="11266" width="11" style="1" customWidth="1"/>
    <col min="11267" max="11267" width="11.140625" style="1" customWidth="1"/>
    <col min="11268" max="11268" width="9.140625" style="1"/>
    <col min="11269" max="11269" width="10.5703125" style="1" customWidth="1"/>
    <col min="11270" max="11270" width="11.42578125" style="1" customWidth="1"/>
    <col min="11271" max="11271" width="12.85546875" style="1" customWidth="1"/>
    <col min="11272" max="11272" width="18.85546875" style="1" customWidth="1"/>
    <col min="11273" max="11273" width="12" style="1" customWidth="1"/>
    <col min="11274" max="11274" width="13" style="1" customWidth="1"/>
    <col min="11275" max="11275" width="15.140625" style="1" customWidth="1"/>
    <col min="11276" max="11521" width="9.140625" style="1"/>
    <col min="11522" max="11522" width="11" style="1" customWidth="1"/>
    <col min="11523" max="11523" width="11.140625" style="1" customWidth="1"/>
    <col min="11524" max="11524" width="9.140625" style="1"/>
    <col min="11525" max="11525" width="10.5703125" style="1" customWidth="1"/>
    <col min="11526" max="11526" width="11.42578125" style="1" customWidth="1"/>
    <col min="11527" max="11527" width="12.85546875" style="1" customWidth="1"/>
    <col min="11528" max="11528" width="18.85546875" style="1" customWidth="1"/>
    <col min="11529" max="11529" width="12" style="1" customWidth="1"/>
    <col min="11530" max="11530" width="13" style="1" customWidth="1"/>
    <col min="11531" max="11531" width="15.140625" style="1" customWidth="1"/>
    <col min="11532" max="11777" width="9.140625" style="1"/>
    <col min="11778" max="11778" width="11" style="1" customWidth="1"/>
    <col min="11779" max="11779" width="11.140625" style="1" customWidth="1"/>
    <col min="11780" max="11780" width="9.140625" style="1"/>
    <col min="11781" max="11781" width="10.5703125" style="1" customWidth="1"/>
    <col min="11782" max="11782" width="11.42578125" style="1" customWidth="1"/>
    <col min="11783" max="11783" width="12.85546875" style="1" customWidth="1"/>
    <col min="11784" max="11784" width="18.85546875" style="1" customWidth="1"/>
    <col min="11785" max="11785" width="12" style="1" customWidth="1"/>
    <col min="11786" max="11786" width="13" style="1" customWidth="1"/>
    <col min="11787" max="11787" width="15.140625" style="1" customWidth="1"/>
    <col min="11788" max="12033" width="9.140625" style="1"/>
    <col min="12034" max="12034" width="11" style="1" customWidth="1"/>
    <col min="12035" max="12035" width="11.140625" style="1" customWidth="1"/>
    <col min="12036" max="12036" width="9.140625" style="1"/>
    <col min="12037" max="12037" width="10.5703125" style="1" customWidth="1"/>
    <col min="12038" max="12038" width="11.42578125" style="1" customWidth="1"/>
    <col min="12039" max="12039" width="12.85546875" style="1" customWidth="1"/>
    <col min="12040" max="12040" width="18.85546875" style="1" customWidth="1"/>
    <col min="12041" max="12041" width="12" style="1" customWidth="1"/>
    <col min="12042" max="12042" width="13" style="1" customWidth="1"/>
    <col min="12043" max="12043" width="15.140625" style="1" customWidth="1"/>
    <col min="12044" max="12289" width="9.140625" style="1"/>
    <col min="12290" max="12290" width="11" style="1" customWidth="1"/>
    <col min="12291" max="12291" width="11.140625" style="1" customWidth="1"/>
    <col min="12292" max="12292" width="9.140625" style="1"/>
    <col min="12293" max="12293" width="10.5703125" style="1" customWidth="1"/>
    <col min="12294" max="12294" width="11.42578125" style="1" customWidth="1"/>
    <col min="12295" max="12295" width="12.85546875" style="1" customWidth="1"/>
    <col min="12296" max="12296" width="18.85546875" style="1" customWidth="1"/>
    <col min="12297" max="12297" width="12" style="1" customWidth="1"/>
    <col min="12298" max="12298" width="13" style="1" customWidth="1"/>
    <col min="12299" max="12299" width="15.140625" style="1" customWidth="1"/>
    <col min="12300" max="12545" width="9.140625" style="1"/>
    <col min="12546" max="12546" width="11" style="1" customWidth="1"/>
    <col min="12547" max="12547" width="11.140625" style="1" customWidth="1"/>
    <col min="12548" max="12548" width="9.140625" style="1"/>
    <col min="12549" max="12549" width="10.5703125" style="1" customWidth="1"/>
    <col min="12550" max="12550" width="11.42578125" style="1" customWidth="1"/>
    <col min="12551" max="12551" width="12.85546875" style="1" customWidth="1"/>
    <col min="12552" max="12552" width="18.85546875" style="1" customWidth="1"/>
    <col min="12553" max="12553" width="12" style="1" customWidth="1"/>
    <col min="12554" max="12554" width="13" style="1" customWidth="1"/>
    <col min="12555" max="12555" width="15.140625" style="1" customWidth="1"/>
    <col min="12556" max="12801" width="9.140625" style="1"/>
    <col min="12802" max="12802" width="11" style="1" customWidth="1"/>
    <col min="12803" max="12803" width="11.140625" style="1" customWidth="1"/>
    <col min="12804" max="12804" width="9.140625" style="1"/>
    <col min="12805" max="12805" width="10.5703125" style="1" customWidth="1"/>
    <col min="12806" max="12806" width="11.42578125" style="1" customWidth="1"/>
    <col min="12807" max="12807" width="12.85546875" style="1" customWidth="1"/>
    <col min="12808" max="12808" width="18.85546875" style="1" customWidth="1"/>
    <col min="12809" max="12809" width="12" style="1" customWidth="1"/>
    <col min="12810" max="12810" width="13" style="1" customWidth="1"/>
    <col min="12811" max="12811" width="15.140625" style="1" customWidth="1"/>
    <col min="12812" max="13057" width="9.140625" style="1"/>
    <col min="13058" max="13058" width="11" style="1" customWidth="1"/>
    <col min="13059" max="13059" width="11.140625" style="1" customWidth="1"/>
    <col min="13060" max="13060" width="9.140625" style="1"/>
    <col min="13061" max="13061" width="10.5703125" style="1" customWidth="1"/>
    <col min="13062" max="13062" width="11.42578125" style="1" customWidth="1"/>
    <col min="13063" max="13063" width="12.85546875" style="1" customWidth="1"/>
    <col min="13064" max="13064" width="18.85546875" style="1" customWidth="1"/>
    <col min="13065" max="13065" width="12" style="1" customWidth="1"/>
    <col min="13066" max="13066" width="13" style="1" customWidth="1"/>
    <col min="13067" max="13067" width="15.140625" style="1" customWidth="1"/>
    <col min="13068" max="13313" width="9.140625" style="1"/>
    <col min="13314" max="13314" width="11" style="1" customWidth="1"/>
    <col min="13315" max="13315" width="11.140625" style="1" customWidth="1"/>
    <col min="13316" max="13316" width="9.140625" style="1"/>
    <col min="13317" max="13317" width="10.5703125" style="1" customWidth="1"/>
    <col min="13318" max="13318" width="11.42578125" style="1" customWidth="1"/>
    <col min="13319" max="13319" width="12.85546875" style="1" customWidth="1"/>
    <col min="13320" max="13320" width="18.85546875" style="1" customWidth="1"/>
    <col min="13321" max="13321" width="12" style="1" customWidth="1"/>
    <col min="13322" max="13322" width="13" style="1" customWidth="1"/>
    <col min="13323" max="13323" width="15.140625" style="1" customWidth="1"/>
    <col min="13324" max="13569" width="9.140625" style="1"/>
    <col min="13570" max="13570" width="11" style="1" customWidth="1"/>
    <col min="13571" max="13571" width="11.140625" style="1" customWidth="1"/>
    <col min="13572" max="13572" width="9.140625" style="1"/>
    <col min="13573" max="13573" width="10.5703125" style="1" customWidth="1"/>
    <col min="13574" max="13574" width="11.42578125" style="1" customWidth="1"/>
    <col min="13575" max="13575" width="12.85546875" style="1" customWidth="1"/>
    <col min="13576" max="13576" width="18.85546875" style="1" customWidth="1"/>
    <col min="13577" max="13577" width="12" style="1" customWidth="1"/>
    <col min="13578" max="13578" width="13" style="1" customWidth="1"/>
    <col min="13579" max="13579" width="15.140625" style="1" customWidth="1"/>
    <col min="13580" max="13825" width="9.140625" style="1"/>
    <col min="13826" max="13826" width="11" style="1" customWidth="1"/>
    <col min="13827" max="13827" width="11.140625" style="1" customWidth="1"/>
    <col min="13828" max="13828" width="9.140625" style="1"/>
    <col min="13829" max="13829" width="10.5703125" style="1" customWidth="1"/>
    <col min="13830" max="13830" width="11.42578125" style="1" customWidth="1"/>
    <col min="13831" max="13831" width="12.85546875" style="1" customWidth="1"/>
    <col min="13832" max="13832" width="18.85546875" style="1" customWidth="1"/>
    <col min="13833" max="13833" width="12" style="1" customWidth="1"/>
    <col min="13834" max="13834" width="13" style="1" customWidth="1"/>
    <col min="13835" max="13835" width="15.140625" style="1" customWidth="1"/>
    <col min="13836" max="14081" width="9.140625" style="1"/>
    <col min="14082" max="14082" width="11" style="1" customWidth="1"/>
    <col min="14083" max="14083" width="11.140625" style="1" customWidth="1"/>
    <col min="14084" max="14084" width="9.140625" style="1"/>
    <col min="14085" max="14085" width="10.5703125" style="1" customWidth="1"/>
    <col min="14086" max="14086" width="11.42578125" style="1" customWidth="1"/>
    <col min="14087" max="14087" width="12.85546875" style="1" customWidth="1"/>
    <col min="14088" max="14088" width="18.85546875" style="1" customWidth="1"/>
    <col min="14089" max="14089" width="12" style="1" customWidth="1"/>
    <col min="14090" max="14090" width="13" style="1" customWidth="1"/>
    <col min="14091" max="14091" width="15.140625" style="1" customWidth="1"/>
    <col min="14092" max="14337" width="9.140625" style="1"/>
    <col min="14338" max="14338" width="11" style="1" customWidth="1"/>
    <col min="14339" max="14339" width="11.140625" style="1" customWidth="1"/>
    <col min="14340" max="14340" width="9.140625" style="1"/>
    <col min="14341" max="14341" width="10.5703125" style="1" customWidth="1"/>
    <col min="14342" max="14342" width="11.42578125" style="1" customWidth="1"/>
    <col min="14343" max="14343" width="12.85546875" style="1" customWidth="1"/>
    <col min="14344" max="14344" width="18.85546875" style="1" customWidth="1"/>
    <col min="14345" max="14345" width="12" style="1" customWidth="1"/>
    <col min="14346" max="14346" width="13" style="1" customWidth="1"/>
    <col min="14347" max="14347" width="15.140625" style="1" customWidth="1"/>
    <col min="14348" max="14593" width="9.140625" style="1"/>
    <col min="14594" max="14594" width="11" style="1" customWidth="1"/>
    <col min="14595" max="14595" width="11.140625" style="1" customWidth="1"/>
    <col min="14596" max="14596" width="9.140625" style="1"/>
    <col min="14597" max="14597" width="10.5703125" style="1" customWidth="1"/>
    <col min="14598" max="14598" width="11.42578125" style="1" customWidth="1"/>
    <col min="14599" max="14599" width="12.85546875" style="1" customWidth="1"/>
    <col min="14600" max="14600" width="18.85546875" style="1" customWidth="1"/>
    <col min="14601" max="14601" width="12" style="1" customWidth="1"/>
    <col min="14602" max="14602" width="13" style="1" customWidth="1"/>
    <col min="14603" max="14603" width="15.140625" style="1" customWidth="1"/>
    <col min="14604" max="14849" width="9.140625" style="1"/>
    <col min="14850" max="14850" width="11" style="1" customWidth="1"/>
    <col min="14851" max="14851" width="11.140625" style="1" customWidth="1"/>
    <col min="14852" max="14852" width="9.140625" style="1"/>
    <col min="14853" max="14853" width="10.5703125" style="1" customWidth="1"/>
    <col min="14854" max="14854" width="11.42578125" style="1" customWidth="1"/>
    <col min="14855" max="14855" width="12.85546875" style="1" customWidth="1"/>
    <col min="14856" max="14856" width="18.85546875" style="1" customWidth="1"/>
    <col min="14857" max="14857" width="12" style="1" customWidth="1"/>
    <col min="14858" max="14858" width="13" style="1" customWidth="1"/>
    <col min="14859" max="14859" width="15.140625" style="1" customWidth="1"/>
    <col min="14860" max="15105" width="9.140625" style="1"/>
    <col min="15106" max="15106" width="11" style="1" customWidth="1"/>
    <col min="15107" max="15107" width="11.140625" style="1" customWidth="1"/>
    <col min="15108" max="15108" width="9.140625" style="1"/>
    <col min="15109" max="15109" width="10.5703125" style="1" customWidth="1"/>
    <col min="15110" max="15110" width="11.42578125" style="1" customWidth="1"/>
    <col min="15111" max="15111" width="12.85546875" style="1" customWidth="1"/>
    <col min="15112" max="15112" width="18.85546875" style="1" customWidth="1"/>
    <col min="15113" max="15113" width="12" style="1" customWidth="1"/>
    <col min="15114" max="15114" width="13" style="1" customWidth="1"/>
    <col min="15115" max="15115" width="15.140625" style="1" customWidth="1"/>
    <col min="15116" max="15361" width="9.140625" style="1"/>
    <col min="15362" max="15362" width="11" style="1" customWidth="1"/>
    <col min="15363" max="15363" width="11.140625" style="1" customWidth="1"/>
    <col min="15364" max="15364" width="9.140625" style="1"/>
    <col min="15365" max="15365" width="10.5703125" style="1" customWidth="1"/>
    <col min="15366" max="15366" width="11.42578125" style="1" customWidth="1"/>
    <col min="15367" max="15367" width="12.85546875" style="1" customWidth="1"/>
    <col min="15368" max="15368" width="18.85546875" style="1" customWidth="1"/>
    <col min="15369" max="15369" width="12" style="1" customWidth="1"/>
    <col min="15370" max="15370" width="13" style="1" customWidth="1"/>
    <col min="15371" max="15371" width="15.140625" style="1" customWidth="1"/>
    <col min="15372" max="15617" width="9.140625" style="1"/>
    <col min="15618" max="15618" width="11" style="1" customWidth="1"/>
    <col min="15619" max="15619" width="11.140625" style="1" customWidth="1"/>
    <col min="15620" max="15620" width="9.140625" style="1"/>
    <col min="15621" max="15621" width="10.5703125" style="1" customWidth="1"/>
    <col min="15622" max="15622" width="11.42578125" style="1" customWidth="1"/>
    <col min="15623" max="15623" width="12.85546875" style="1" customWidth="1"/>
    <col min="15624" max="15624" width="18.85546875" style="1" customWidth="1"/>
    <col min="15625" max="15625" width="12" style="1" customWidth="1"/>
    <col min="15626" max="15626" width="13" style="1" customWidth="1"/>
    <col min="15627" max="15627" width="15.140625" style="1" customWidth="1"/>
    <col min="15628" max="15873" width="9.140625" style="1"/>
    <col min="15874" max="15874" width="11" style="1" customWidth="1"/>
    <col min="15875" max="15875" width="11.140625" style="1" customWidth="1"/>
    <col min="15876" max="15876" width="9.140625" style="1"/>
    <col min="15877" max="15877" width="10.5703125" style="1" customWidth="1"/>
    <col min="15878" max="15878" width="11.42578125" style="1" customWidth="1"/>
    <col min="15879" max="15879" width="12.85546875" style="1" customWidth="1"/>
    <col min="15880" max="15880" width="18.85546875" style="1" customWidth="1"/>
    <col min="15881" max="15881" width="12" style="1" customWidth="1"/>
    <col min="15882" max="15882" width="13" style="1" customWidth="1"/>
    <col min="15883" max="15883" width="15.140625" style="1" customWidth="1"/>
    <col min="15884" max="16129" width="9.140625" style="1"/>
    <col min="16130" max="16130" width="11" style="1" customWidth="1"/>
    <col min="16131" max="16131" width="11.140625" style="1" customWidth="1"/>
    <col min="16132" max="16132" width="9.140625" style="1"/>
    <col min="16133" max="16133" width="10.5703125" style="1" customWidth="1"/>
    <col min="16134" max="16134" width="11.42578125" style="1" customWidth="1"/>
    <col min="16135" max="16135" width="12.85546875" style="1" customWidth="1"/>
    <col min="16136" max="16136" width="18.85546875" style="1" customWidth="1"/>
    <col min="16137" max="16137" width="12" style="1" customWidth="1"/>
    <col min="16138" max="16138" width="13" style="1" customWidth="1"/>
    <col min="16139" max="16139" width="15.140625" style="1" customWidth="1"/>
    <col min="16140" max="16384" width="9.140625" style="1"/>
  </cols>
  <sheetData>
    <row r="1" spans="1:11" ht="57.75" customHeight="1">
      <c r="A1" s="1969"/>
      <c r="B1" s="1969"/>
      <c r="C1" s="1970"/>
      <c r="D1" s="1969"/>
      <c r="E1" s="1969"/>
      <c r="F1" s="1969"/>
      <c r="G1" s="2062" t="s">
        <v>1060</v>
      </c>
      <c r="H1" s="2062"/>
      <c r="I1" s="2062"/>
      <c r="J1" s="2062"/>
      <c r="K1" s="2062"/>
    </row>
    <row r="2" spans="1:11" ht="59.25" customHeight="1">
      <c r="A2" s="1919" t="s">
        <v>79</v>
      </c>
      <c r="B2" s="1919"/>
      <c r="C2" s="1919"/>
      <c r="D2" s="1919"/>
      <c r="E2" s="1919"/>
      <c r="F2" s="1919"/>
      <c r="G2" s="1919"/>
      <c r="H2" s="1919"/>
      <c r="I2" s="1919"/>
      <c r="J2" s="1919"/>
      <c r="K2" s="1919"/>
    </row>
    <row r="3" spans="1:11" ht="19.5" customHeight="1">
      <c r="A3" s="161"/>
      <c r="B3" s="161"/>
      <c r="C3" s="161"/>
      <c r="D3" s="161"/>
      <c r="E3" s="161"/>
      <c r="F3" s="162"/>
      <c r="G3" s="162"/>
      <c r="H3" s="162"/>
      <c r="I3" s="162"/>
      <c r="J3" s="162"/>
      <c r="K3" s="56" t="s">
        <v>21</v>
      </c>
    </row>
    <row r="4" spans="1:11" ht="38.25" customHeight="1" thickBot="1">
      <c r="A4" s="2063" t="s">
        <v>78</v>
      </c>
      <c r="B4" s="2063"/>
      <c r="C4" s="2063"/>
      <c r="D4" s="2063"/>
      <c r="E4" s="2063"/>
      <c r="F4" s="2063"/>
      <c r="G4" s="2063"/>
      <c r="H4" s="2063"/>
      <c r="I4" s="2063"/>
      <c r="J4" s="2063"/>
      <c r="K4" s="2063"/>
    </row>
    <row r="5" spans="1:11" ht="23.25" customHeight="1" thickBot="1">
      <c r="A5" s="787" t="s">
        <v>0</v>
      </c>
      <c r="B5" s="787" t="s">
        <v>77</v>
      </c>
      <c r="C5" s="468" t="s">
        <v>5</v>
      </c>
      <c r="D5" s="2064" t="s">
        <v>64</v>
      </c>
      <c r="E5" s="2065"/>
      <c r="F5" s="2065"/>
      <c r="G5" s="2065"/>
      <c r="H5" s="2065"/>
      <c r="I5" s="2066"/>
      <c r="J5" s="2064" t="s">
        <v>76</v>
      </c>
      <c r="K5" s="2066"/>
    </row>
    <row r="6" spans="1:11" ht="14.1" customHeight="1">
      <c r="A6" s="2067">
        <v>855</v>
      </c>
      <c r="B6" s="1209"/>
      <c r="C6" s="2069" t="s">
        <v>181</v>
      </c>
      <c r="D6" s="2069"/>
      <c r="E6" s="2069"/>
      <c r="F6" s="2069"/>
      <c r="G6" s="2069"/>
      <c r="H6" s="2069"/>
      <c r="I6" s="2070"/>
      <c r="J6" s="2058">
        <f>SUM(J7)</f>
        <v>1206550</v>
      </c>
      <c r="K6" s="2059"/>
    </row>
    <row r="7" spans="1:11" ht="14.1" customHeight="1">
      <c r="A7" s="2067"/>
      <c r="B7" s="2075">
        <v>85510</v>
      </c>
      <c r="C7" s="2071" t="s">
        <v>182</v>
      </c>
      <c r="D7" s="2071"/>
      <c r="E7" s="2071"/>
      <c r="F7" s="2071"/>
      <c r="G7" s="2071"/>
      <c r="H7" s="2071"/>
      <c r="I7" s="2072"/>
      <c r="J7" s="2060">
        <v>1206550</v>
      </c>
      <c r="K7" s="2061"/>
    </row>
    <row r="8" spans="1:11" ht="14.1" customHeight="1">
      <c r="A8" s="2068"/>
      <c r="B8" s="2076"/>
      <c r="C8" s="1180">
        <v>2320</v>
      </c>
      <c r="D8" s="2073"/>
      <c r="E8" s="2073"/>
      <c r="F8" s="2073"/>
      <c r="G8" s="2073"/>
      <c r="H8" s="2073"/>
      <c r="I8" s="2074"/>
      <c r="J8" s="2060">
        <v>1206550</v>
      </c>
      <c r="K8" s="2061"/>
    </row>
    <row r="9" spans="1:11" ht="15">
      <c r="A9" s="2036" t="s">
        <v>10</v>
      </c>
      <c r="B9" s="2039" t="s">
        <v>17</v>
      </c>
      <c r="C9" s="2040"/>
      <c r="D9" s="2040"/>
      <c r="E9" s="2040"/>
      <c r="F9" s="2040"/>
      <c r="G9" s="2040"/>
      <c r="H9" s="2040"/>
      <c r="I9" s="2041"/>
      <c r="J9" s="2042">
        <f>SUM(J10)</f>
        <v>3307016</v>
      </c>
      <c r="K9" s="2043"/>
    </row>
    <row r="10" spans="1:11" ht="14.25">
      <c r="A10" s="2037"/>
      <c r="B10" s="2044" t="s">
        <v>11</v>
      </c>
      <c r="C10" s="2046" t="s">
        <v>12</v>
      </c>
      <c r="D10" s="2046"/>
      <c r="E10" s="2046"/>
      <c r="F10" s="2046"/>
      <c r="G10" s="2046"/>
      <c r="H10" s="2046"/>
      <c r="I10" s="2047"/>
      <c r="J10" s="2048">
        <f>SUM(J11:K12)</f>
        <v>3307016</v>
      </c>
      <c r="K10" s="2049"/>
    </row>
    <row r="11" spans="1:11" ht="15">
      <c r="A11" s="2037"/>
      <c r="B11" s="2044"/>
      <c r="C11" s="1181">
        <v>2310</v>
      </c>
      <c r="D11" s="2050"/>
      <c r="E11" s="2050"/>
      <c r="F11" s="2050"/>
      <c r="G11" s="2050"/>
      <c r="H11" s="2050"/>
      <c r="I11" s="2051"/>
      <c r="J11" s="2052">
        <v>3234016</v>
      </c>
      <c r="K11" s="2053"/>
    </row>
    <row r="12" spans="1:11" ht="15.75" thickBot="1">
      <c r="A12" s="2038"/>
      <c r="B12" s="2045"/>
      <c r="C12" s="1182">
        <v>2320</v>
      </c>
      <c r="D12" s="2054"/>
      <c r="E12" s="2054"/>
      <c r="F12" s="2054"/>
      <c r="G12" s="2054"/>
      <c r="H12" s="2054"/>
      <c r="I12" s="2055"/>
      <c r="J12" s="2056">
        <v>73000</v>
      </c>
      <c r="K12" s="2057"/>
    </row>
    <row r="13" spans="1:11" ht="16.5" thickBot="1">
      <c r="A13" s="2079" t="s">
        <v>16</v>
      </c>
      <c r="B13" s="2080"/>
      <c r="C13" s="2080"/>
      <c r="D13" s="2080"/>
      <c r="E13" s="2080"/>
      <c r="F13" s="2080"/>
      <c r="G13" s="2080"/>
      <c r="H13" s="2080"/>
      <c r="I13" s="2081"/>
      <c r="J13" s="2082">
        <f>J9+J6</f>
        <v>4513566</v>
      </c>
      <c r="K13" s="2083"/>
    </row>
    <row r="14" spans="1:11" ht="15.75">
      <c r="A14" s="55"/>
      <c r="B14" s="55"/>
      <c r="C14" s="54"/>
      <c r="D14" s="53"/>
      <c r="E14" s="53"/>
      <c r="F14" s="52"/>
      <c r="G14" s="51"/>
      <c r="H14" s="50"/>
      <c r="I14" s="50"/>
      <c r="J14" s="50"/>
      <c r="K14" s="50"/>
    </row>
    <row r="15" spans="1:11" ht="15">
      <c r="A15" s="49"/>
      <c r="B15" s="49"/>
      <c r="C15" s="47"/>
      <c r="D15" s="48"/>
      <c r="E15" s="48"/>
      <c r="F15" s="48"/>
      <c r="G15" s="48"/>
      <c r="H15" s="48"/>
      <c r="I15" s="48"/>
      <c r="J15" s="47"/>
      <c r="K15" s="46" t="s">
        <v>21</v>
      </c>
    </row>
    <row r="16" spans="1:11" ht="37.5" customHeight="1" thickBot="1">
      <c r="A16" s="2084" t="s">
        <v>75</v>
      </c>
      <c r="B16" s="2084"/>
      <c r="C16" s="2084"/>
      <c r="D16" s="2084"/>
      <c r="E16" s="2084"/>
      <c r="F16" s="2084"/>
      <c r="G16" s="2084"/>
      <c r="H16" s="2084"/>
      <c r="I16" s="2084"/>
      <c r="J16" s="2084"/>
      <c r="K16" s="2084"/>
    </row>
    <row r="17" spans="1:11" ht="15">
      <c r="A17" s="2085" t="s">
        <v>0</v>
      </c>
      <c r="B17" s="2087" t="s">
        <v>1</v>
      </c>
      <c r="C17" s="2085" t="s">
        <v>64</v>
      </c>
      <c r="D17" s="2085"/>
      <c r="E17" s="1986" t="s">
        <v>5</v>
      </c>
      <c r="F17" s="2090" t="s">
        <v>74</v>
      </c>
      <c r="G17" s="2092" t="s">
        <v>73</v>
      </c>
      <c r="H17" s="2093" t="s">
        <v>2</v>
      </c>
      <c r="I17" s="2094"/>
      <c r="J17" s="2095"/>
      <c r="K17" s="2077" t="s">
        <v>72</v>
      </c>
    </row>
    <row r="18" spans="1:11" ht="44.1" customHeight="1" thickBot="1">
      <c r="A18" s="2086"/>
      <c r="B18" s="2088"/>
      <c r="C18" s="2086"/>
      <c r="D18" s="2086"/>
      <c r="E18" s="2089"/>
      <c r="F18" s="2091"/>
      <c r="G18" s="2086"/>
      <c r="H18" s="1205" t="s">
        <v>71</v>
      </c>
      <c r="I18" s="1206" t="s">
        <v>14</v>
      </c>
      <c r="J18" s="1207" t="s">
        <v>70</v>
      </c>
      <c r="K18" s="2078"/>
    </row>
    <row r="19" spans="1:11" ht="15" customHeight="1">
      <c r="A19" s="2029">
        <v>855</v>
      </c>
      <c r="B19" s="2033" t="s">
        <v>181</v>
      </c>
      <c r="C19" s="2034"/>
      <c r="D19" s="2034"/>
      <c r="E19" s="2035"/>
      <c r="F19" s="1192">
        <f t="shared" ref="F19:K19" si="0">F20</f>
        <v>1206550</v>
      </c>
      <c r="G19" s="1193">
        <f t="shared" si="0"/>
        <v>1206550</v>
      </c>
      <c r="H19" s="1194">
        <f t="shared" si="0"/>
        <v>0</v>
      </c>
      <c r="I19" s="1195">
        <f t="shared" si="0"/>
        <v>1206550</v>
      </c>
      <c r="J19" s="1196">
        <f t="shared" si="0"/>
        <v>0</v>
      </c>
      <c r="K19" s="1197">
        <f t="shared" si="0"/>
        <v>0</v>
      </c>
    </row>
    <row r="20" spans="1:11" ht="63.75" customHeight="1" thickBot="1">
      <c r="A20" s="2030"/>
      <c r="B20" s="1198">
        <v>85510</v>
      </c>
      <c r="C20" s="2024" t="s">
        <v>182</v>
      </c>
      <c r="D20" s="2025"/>
      <c r="E20" s="1199">
        <v>2360</v>
      </c>
      <c r="F20" s="1200">
        <f>G20+K20</f>
        <v>1206550</v>
      </c>
      <c r="G20" s="332">
        <f>H20+I20+J20</f>
        <v>1206550</v>
      </c>
      <c r="H20" s="1201">
        <v>0</v>
      </c>
      <c r="I20" s="1202">
        <v>1206550</v>
      </c>
      <c r="J20" s="1203">
        <v>0</v>
      </c>
      <c r="K20" s="1204">
        <v>0</v>
      </c>
    </row>
    <row r="21" spans="1:11" ht="30" customHeight="1">
      <c r="A21" s="2012" t="s">
        <v>10</v>
      </c>
      <c r="B21" s="2021" t="s">
        <v>69</v>
      </c>
      <c r="C21" s="2022"/>
      <c r="D21" s="2022"/>
      <c r="E21" s="2023"/>
      <c r="F21" s="1186">
        <f t="shared" ref="F21:K21" si="1">F22+F23</f>
        <v>3307016</v>
      </c>
      <c r="G21" s="1190">
        <f t="shared" si="1"/>
        <v>3307016</v>
      </c>
      <c r="H21" s="1188">
        <f t="shared" si="1"/>
        <v>0</v>
      </c>
      <c r="I21" s="469">
        <f t="shared" si="1"/>
        <v>3307016</v>
      </c>
      <c r="J21" s="163">
        <f t="shared" si="1"/>
        <v>0</v>
      </c>
      <c r="K21" s="1184">
        <f t="shared" si="1"/>
        <v>0</v>
      </c>
    </row>
    <row r="22" spans="1:11" ht="21" customHeight="1">
      <c r="A22" s="2012"/>
      <c r="B22" s="2027" t="s">
        <v>11</v>
      </c>
      <c r="C22" s="2031" t="s">
        <v>12</v>
      </c>
      <c r="D22" s="2031"/>
      <c r="E22" s="1183">
        <v>2480</v>
      </c>
      <c r="F22" s="1187">
        <f>G22+K22</f>
        <v>3234016</v>
      </c>
      <c r="G22" s="1191">
        <f>H22+I22+J22</f>
        <v>3234016</v>
      </c>
      <c r="H22" s="1189">
        <v>0</v>
      </c>
      <c r="I22" s="164">
        <v>3234016</v>
      </c>
      <c r="J22" s="165">
        <v>0</v>
      </c>
      <c r="K22" s="1185">
        <v>0</v>
      </c>
    </row>
    <row r="23" spans="1:11" ht="21" customHeight="1" thickBot="1">
      <c r="A23" s="1968"/>
      <c r="B23" s="2028"/>
      <c r="C23" s="2032"/>
      <c r="D23" s="2032"/>
      <c r="E23" s="1183">
        <v>2800</v>
      </c>
      <c r="F23" s="1187">
        <f>G23+K23</f>
        <v>73000</v>
      </c>
      <c r="G23" s="1191">
        <f>H23+I23+J23</f>
        <v>73000</v>
      </c>
      <c r="H23" s="1189">
        <v>0</v>
      </c>
      <c r="I23" s="164">
        <v>73000</v>
      </c>
      <c r="J23" s="165">
        <v>0</v>
      </c>
      <c r="K23" s="1185">
        <v>0</v>
      </c>
    </row>
    <row r="24" spans="1:11" ht="22.5" customHeight="1" thickBot="1">
      <c r="A24" s="2017" t="s">
        <v>61</v>
      </c>
      <c r="B24" s="2026"/>
      <c r="C24" s="2026"/>
      <c r="D24" s="2026"/>
      <c r="E24" s="2026"/>
      <c r="F24" s="43">
        <f t="shared" ref="F24:K24" si="2">F21+F19</f>
        <v>4513566</v>
      </c>
      <c r="G24" s="44">
        <f t="shared" si="2"/>
        <v>4513566</v>
      </c>
      <c r="H24" s="1208">
        <f t="shared" si="2"/>
        <v>0</v>
      </c>
      <c r="I24" s="44">
        <f t="shared" si="2"/>
        <v>4513566</v>
      </c>
      <c r="J24" s="44">
        <f t="shared" si="2"/>
        <v>0</v>
      </c>
      <c r="K24" s="1208">
        <f t="shared" si="2"/>
        <v>0</v>
      </c>
    </row>
    <row r="29" spans="1:11">
      <c r="E29" s="101"/>
    </row>
  </sheetData>
  <mergeCells count="43">
    <mergeCell ref="K17:K18"/>
    <mergeCell ref="A13:I13"/>
    <mergeCell ref="J13:K13"/>
    <mergeCell ref="A16:K16"/>
    <mergeCell ref="A17:A18"/>
    <mergeCell ref="B17:B18"/>
    <mergeCell ref="C17:D18"/>
    <mergeCell ref="E17:E18"/>
    <mergeCell ref="F17:F18"/>
    <mergeCell ref="G17:G18"/>
    <mergeCell ref="H17:J17"/>
    <mergeCell ref="J6:K6"/>
    <mergeCell ref="J7:K7"/>
    <mergeCell ref="J8:K8"/>
    <mergeCell ref="A1:F1"/>
    <mergeCell ref="G1:K1"/>
    <mergeCell ref="A2:K2"/>
    <mergeCell ref="A4:K4"/>
    <mergeCell ref="D5:I5"/>
    <mergeCell ref="J5:K5"/>
    <mergeCell ref="A6:A8"/>
    <mergeCell ref="C6:I6"/>
    <mergeCell ref="C7:I7"/>
    <mergeCell ref="D8:I8"/>
    <mergeCell ref="B7:B8"/>
    <mergeCell ref="A9:A12"/>
    <mergeCell ref="B9:I9"/>
    <mergeCell ref="J9:K9"/>
    <mergeCell ref="B10:B12"/>
    <mergeCell ref="C10:I10"/>
    <mergeCell ref="J10:K10"/>
    <mergeCell ref="D11:I11"/>
    <mergeCell ref="J11:K11"/>
    <mergeCell ref="D12:I12"/>
    <mergeCell ref="J12:K12"/>
    <mergeCell ref="B21:E21"/>
    <mergeCell ref="C20:D20"/>
    <mergeCell ref="A24:E24"/>
    <mergeCell ref="B22:B23"/>
    <mergeCell ref="A21:A23"/>
    <mergeCell ref="A19:A20"/>
    <mergeCell ref="C22:D23"/>
    <mergeCell ref="B19:E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Footer>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3"/>
  <sheetViews>
    <sheetView view="pageBreakPreview" zoomScaleSheetLayoutView="100" workbookViewId="0">
      <selection activeCell="I7" sqref="I7"/>
    </sheetView>
  </sheetViews>
  <sheetFormatPr defaultRowHeight="12.75"/>
  <cols>
    <col min="1" max="6" width="12.7109375" style="1" customWidth="1"/>
    <col min="7" max="7" width="60.7109375" style="1" customWidth="1"/>
    <col min="8" max="8" width="10.140625" style="1" bestFit="1" customWidth="1"/>
    <col min="9" max="9" width="10.7109375" style="1" bestFit="1" customWidth="1"/>
    <col min="10" max="256" width="9.140625" style="1"/>
    <col min="257" max="257" width="7.7109375" style="1" customWidth="1"/>
    <col min="258" max="258" width="10.5703125" style="1" customWidth="1"/>
    <col min="259" max="259" width="11.140625" style="1" bestFit="1" customWidth="1"/>
    <col min="260" max="260" width="22.140625" style="1" bestFit="1" customWidth="1"/>
    <col min="261" max="261" width="12.28515625" style="1" customWidth="1"/>
    <col min="262" max="262" width="12.5703125" style="1" customWidth="1"/>
    <col min="263" max="263" width="12.140625" style="1" customWidth="1"/>
    <col min="264" max="264" width="19.7109375" style="1" customWidth="1"/>
    <col min="265" max="512" width="9.140625" style="1"/>
    <col min="513" max="513" width="7.7109375" style="1" customWidth="1"/>
    <col min="514" max="514" width="10.5703125" style="1" customWidth="1"/>
    <col min="515" max="515" width="11.140625" style="1" bestFit="1" customWidth="1"/>
    <col min="516" max="516" width="22.140625" style="1" bestFit="1" customWidth="1"/>
    <col min="517" max="517" width="12.28515625" style="1" customWidth="1"/>
    <col min="518" max="518" width="12.5703125" style="1" customWidth="1"/>
    <col min="519" max="519" width="12.140625" style="1" customWidth="1"/>
    <col min="520" max="520" width="19.7109375" style="1" customWidth="1"/>
    <col min="521" max="768" width="9.140625" style="1"/>
    <col min="769" max="769" width="7.7109375" style="1" customWidth="1"/>
    <col min="770" max="770" width="10.5703125" style="1" customWidth="1"/>
    <col min="771" max="771" width="11.140625" style="1" bestFit="1" customWidth="1"/>
    <col min="772" max="772" width="22.140625" style="1" bestFit="1" customWidth="1"/>
    <col min="773" max="773" width="12.28515625" style="1" customWidth="1"/>
    <col min="774" max="774" width="12.5703125" style="1" customWidth="1"/>
    <col min="775" max="775" width="12.140625" style="1" customWidth="1"/>
    <col min="776" max="776" width="19.7109375" style="1" customWidth="1"/>
    <col min="777" max="1024" width="9.140625" style="1"/>
    <col min="1025" max="1025" width="7.7109375" style="1" customWidth="1"/>
    <col min="1026" max="1026" width="10.5703125" style="1" customWidth="1"/>
    <col min="1027" max="1027" width="11.140625" style="1" bestFit="1" customWidth="1"/>
    <col min="1028" max="1028" width="22.140625" style="1" bestFit="1" customWidth="1"/>
    <col min="1029" max="1029" width="12.28515625" style="1" customWidth="1"/>
    <col min="1030" max="1030" width="12.5703125" style="1" customWidth="1"/>
    <col min="1031" max="1031" width="12.140625" style="1" customWidth="1"/>
    <col min="1032" max="1032" width="19.7109375" style="1" customWidth="1"/>
    <col min="1033" max="1280" width="9.140625" style="1"/>
    <col min="1281" max="1281" width="7.7109375" style="1" customWidth="1"/>
    <col min="1282" max="1282" width="10.5703125" style="1" customWidth="1"/>
    <col min="1283" max="1283" width="11.140625" style="1" bestFit="1" customWidth="1"/>
    <col min="1284" max="1284" width="22.140625" style="1" bestFit="1" customWidth="1"/>
    <col min="1285" max="1285" width="12.28515625" style="1" customWidth="1"/>
    <col min="1286" max="1286" width="12.5703125" style="1" customWidth="1"/>
    <col min="1287" max="1287" width="12.140625" style="1" customWidth="1"/>
    <col min="1288" max="1288" width="19.7109375" style="1" customWidth="1"/>
    <col min="1289" max="1536" width="9.140625" style="1"/>
    <col min="1537" max="1537" width="7.7109375" style="1" customWidth="1"/>
    <col min="1538" max="1538" width="10.5703125" style="1" customWidth="1"/>
    <col min="1539" max="1539" width="11.140625" style="1" bestFit="1" customWidth="1"/>
    <col min="1540" max="1540" width="22.140625" style="1" bestFit="1" customWidth="1"/>
    <col min="1541" max="1541" width="12.28515625" style="1" customWidth="1"/>
    <col min="1542" max="1542" width="12.5703125" style="1" customWidth="1"/>
    <col min="1543" max="1543" width="12.140625" style="1" customWidth="1"/>
    <col min="1544" max="1544" width="19.7109375" style="1" customWidth="1"/>
    <col min="1545" max="1792" width="9.140625" style="1"/>
    <col min="1793" max="1793" width="7.7109375" style="1" customWidth="1"/>
    <col min="1794" max="1794" width="10.5703125" style="1" customWidth="1"/>
    <col min="1795" max="1795" width="11.140625" style="1" bestFit="1" customWidth="1"/>
    <col min="1796" max="1796" width="22.140625" style="1" bestFit="1" customWidth="1"/>
    <col min="1797" max="1797" width="12.28515625" style="1" customWidth="1"/>
    <col min="1798" max="1798" width="12.5703125" style="1" customWidth="1"/>
    <col min="1799" max="1799" width="12.140625" style="1" customWidth="1"/>
    <col min="1800" max="1800" width="19.7109375" style="1" customWidth="1"/>
    <col min="1801" max="2048" width="9.140625" style="1"/>
    <col min="2049" max="2049" width="7.7109375" style="1" customWidth="1"/>
    <col min="2050" max="2050" width="10.5703125" style="1" customWidth="1"/>
    <col min="2051" max="2051" width="11.140625" style="1" bestFit="1" customWidth="1"/>
    <col min="2052" max="2052" width="22.140625" style="1" bestFit="1" customWidth="1"/>
    <col min="2053" max="2053" width="12.28515625" style="1" customWidth="1"/>
    <col min="2054" max="2054" width="12.5703125" style="1" customWidth="1"/>
    <col min="2055" max="2055" width="12.140625" style="1" customWidth="1"/>
    <col min="2056" max="2056" width="19.7109375" style="1" customWidth="1"/>
    <col min="2057" max="2304" width="9.140625" style="1"/>
    <col min="2305" max="2305" width="7.7109375" style="1" customWidth="1"/>
    <col min="2306" max="2306" width="10.5703125" style="1" customWidth="1"/>
    <col min="2307" max="2307" width="11.140625" style="1" bestFit="1" customWidth="1"/>
    <col min="2308" max="2308" width="22.140625" style="1" bestFit="1" customWidth="1"/>
    <col min="2309" max="2309" width="12.28515625" style="1" customWidth="1"/>
    <col min="2310" max="2310" width="12.5703125" style="1" customWidth="1"/>
    <col min="2311" max="2311" width="12.140625" style="1" customWidth="1"/>
    <col min="2312" max="2312" width="19.7109375" style="1" customWidth="1"/>
    <col min="2313" max="2560" width="9.140625" style="1"/>
    <col min="2561" max="2561" width="7.7109375" style="1" customWidth="1"/>
    <col min="2562" max="2562" width="10.5703125" style="1" customWidth="1"/>
    <col min="2563" max="2563" width="11.140625" style="1" bestFit="1" customWidth="1"/>
    <col min="2564" max="2564" width="22.140625" style="1" bestFit="1" customWidth="1"/>
    <col min="2565" max="2565" width="12.28515625" style="1" customWidth="1"/>
    <col min="2566" max="2566" width="12.5703125" style="1" customWidth="1"/>
    <col min="2567" max="2567" width="12.140625" style="1" customWidth="1"/>
    <col min="2568" max="2568" width="19.7109375" style="1" customWidth="1"/>
    <col min="2569" max="2816" width="9.140625" style="1"/>
    <col min="2817" max="2817" width="7.7109375" style="1" customWidth="1"/>
    <col min="2818" max="2818" width="10.5703125" style="1" customWidth="1"/>
    <col min="2819" max="2819" width="11.140625" style="1" bestFit="1" customWidth="1"/>
    <col min="2820" max="2820" width="22.140625" style="1" bestFit="1" customWidth="1"/>
    <col min="2821" max="2821" width="12.28515625" style="1" customWidth="1"/>
    <col min="2822" max="2822" width="12.5703125" style="1" customWidth="1"/>
    <col min="2823" max="2823" width="12.140625" style="1" customWidth="1"/>
    <col min="2824" max="2824" width="19.7109375" style="1" customWidth="1"/>
    <col min="2825" max="3072" width="9.140625" style="1"/>
    <col min="3073" max="3073" width="7.7109375" style="1" customWidth="1"/>
    <col min="3074" max="3074" width="10.5703125" style="1" customWidth="1"/>
    <col min="3075" max="3075" width="11.140625" style="1" bestFit="1" customWidth="1"/>
    <col min="3076" max="3076" width="22.140625" style="1" bestFit="1" customWidth="1"/>
    <col min="3077" max="3077" width="12.28515625" style="1" customWidth="1"/>
    <col min="3078" max="3078" width="12.5703125" style="1" customWidth="1"/>
    <col min="3079" max="3079" width="12.140625" style="1" customWidth="1"/>
    <col min="3080" max="3080" width="19.7109375" style="1" customWidth="1"/>
    <col min="3081" max="3328" width="9.140625" style="1"/>
    <col min="3329" max="3329" width="7.7109375" style="1" customWidth="1"/>
    <col min="3330" max="3330" width="10.5703125" style="1" customWidth="1"/>
    <col min="3331" max="3331" width="11.140625" style="1" bestFit="1" customWidth="1"/>
    <col min="3332" max="3332" width="22.140625" style="1" bestFit="1" customWidth="1"/>
    <col min="3333" max="3333" width="12.28515625" style="1" customWidth="1"/>
    <col min="3334" max="3334" width="12.5703125" style="1" customWidth="1"/>
    <col min="3335" max="3335" width="12.140625" style="1" customWidth="1"/>
    <col min="3336" max="3336" width="19.7109375" style="1" customWidth="1"/>
    <col min="3337" max="3584" width="9.140625" style="1"/>
    <col min="3585" max="3585" width="7.7109375" style="1" customWidth="1"/>
    <col min="3586" max="3586" width="10.5703125" style="1" customWidth="1"/>
    <col min="3587" max="3587" width="11.140625" style="1" bestFit="1" customWidth="1"/>
    <col min="3588" max="3588" width="22.140625" style="1" bestFit="1" customWidth="1"/>
    <col min="3589" max="3589" width="12.28515625" style="1" customWidth="1"/>
    <col min="3590" max="3590" width="12.5703125" style="1" customWidth="1"/>
    <col min="3591" max="3591" width="12.140625" style="1" customWidth="1"/>
    <col min="3592" max="3592" width="19.7109375" style="1" customWidth="1"/>
    <col min="3593" max="3840" width="9.140625" style="1"/>
    <col min="3841" max="3841" width="7.7109375" style="1" customWidth="1"/>
    <col min="3842" max="3842" width="10.5703125" style="1" customWidth="1"/>
    <col min="3843" max="3843" width="11.140625" style="1" bestFit="1" customWidth="1"/>
    <col min="3844" max="3844" width="22.140625" style="1" bestFit="1" customWidth="1"/>
    <col min="3845" max="3845" width="12.28515625" style="1" customWidth="1"/>
    <col min="3846" max="3846" width="12.5703125" style="1" customWidth="1"/>
    <col min="3847" max="3847" width="12.140625" style="1" customWidth="1"/>
    <col min="3848" max="3848" width="19.7109375" style="1" customWidth="1"/>
    <col min="3849" max="4096" width="9.140625" style="1"/>
    <col min="4097" max="4097" width="7.7109375" style="1" customWidth="1"/>
    <col min="4098" max="4098" width="10.5703125" style="1" customWidth="1"/>
    <col min="4099" max="4099" width="11.140625" style="1" bestFit="1" customWidth="1"/>
    <col min="4100" max="4100" width="22.140625" style="1" bestFit="1" customWidth="1"/>
    <col min="4101" max="4101" width="12.28515625" style="1" customWidth="1"/>
    <col min="4102" max="4102" width="12.5703125" style="1" customWidth="1"/>
    <col min="4103" max="4103" width="12.140625" style="1" customWidth="1"/>
    <col min="4104" max="4104" width="19.7109375" style="1" customWidth="1"/>
    <col min="4105" max="4352" width="9.140625" style="1"/>
    <col min="4353" max="4353" width="7.7109375" style="1" customWidth="1"/>
    <col min="4354" max="4354" width="10.5703125" style="1" customWidth="1"/>
    <col min="4355" max="4355" width="11.140625" style="1" bestFit="1" customWidth="1"/>
    <col min="4356" max="4356" width="22.140625" style="1" bestFit="1" customWidth="1"/>
    <col min="4357" max="4357" width="12.28515625" style="1" customWidth="1"/>
    <col min="4358" max="4358" width="12.5703125" style="1" customWidth="1"/>
    <col min="4359" max="4359" width="12.140625" style="1" customWidth="1"/>
    <col min="4360" max="4360" width="19.7109375" style="1" customWidth="1"/>
    <col min="4361" max="4608" width="9.140625" style="1"/>
    <col min="4609" max="4609" width="7.7109375" style="1" customWidth="1"/>
    <col min="4610" max="4610" width="10.5703125" style="1" customWidth="1"/>
    <col min="4611" max="4611" width="11.140625" style="1" bestFit="1" customWidth="1"/>
    <col min="4612" max="4612" width="22.140625" style="1" bestFit="1" customWidth="1"/>
    <col min="4613" max="4613" width="12.28515625" style="1" customWidth="1"/>
    <col min="4614" max="4614" width="12.5703125" style="1" customWidth="1"/>
    <col min="4615" max="4615" width="12.140625" style="1" customWidth="1"/>
    <col min="4616" max="4616" width="19.7109375" style="1" customWidth="1"/>
    <col min="4617" max="4864" width="9.140625" style="1"/>
    <col min="4865" max="4865" width="7.7109375" style="1" customWidth="1"/>
    <col min="4866" max="4866" width="10.5703125" style="1" customWidth="1"/>
    <col min="4867" max="4867" width="11.140625" style="1" bestFit="1" customWidth="1"/>
    <col min="4868" max="4868" width="22.140625" style="1" bestFit="1" customWidth="1"/>
    <col min="4869" max="4869" width="12.28515625" style="1" customWidth="1"/>
    <col min="4870" max="4870" width="12.5703125" style="1" customWidth="1"/>
    <col min="4871" max="4871" width="12.140625" style="1" customWidth="1"/>
    <col min="4872" max="4872" width="19.7109375" style="1" customWidth="1"/>
    <col min="4873" max="5120" width="9.140625" style="1"/>
    <col min="5121" max="5121" width="7.7109375" style="1" customWidth="1"/>
    <col min="5122" max="5122" width="10.5703125" style="1" customWidth="1"/>
    <col min="5123" max="5123" width="11.140625" style="1" bestFit="1" customWidth="1"/>
    <col min="5124" max="5124" width="22.140625" style="1" bestFit="1" customWidth="1"/>
    <col min="5125" max="5125" width="12.28515625" style="1" customWidth="1"/>
    <col min="5126" max="5126" width="12.5703125" style="1" customWidth="1"/>
    <col min="5127" max="5127" width="12.140625" style="1" customWidth="1"/>
    <col min="5128" max="5128" width="19.7109375" style="1" customWidth="1"/>
    <col min="5129" max="5376" width="9.140625" style="1"/>
    <col min="5377" max="5377" width="7.7109375" style="1" customWidth="1"/>
    <col min="5378" max="5378" width="10.5703125" style="1" customWidth="1"/>
    <col min="5379" max="5379" width="11.140625" style="1" bestFit="1" customWidth="1"/>
    <col min="5380" max="5380" width="22.140625" style="1" bestFit="1" customWidth="1"/>
    <col min="5381" max="5381" width="12.28515625" style="1" customWidth="1"/>
    <col min="5382" max="5382" width="12.5703125" style="1" customWidth="1"/>
    <col min="5383" max="5383" width="12.140625" style="1" customWidth="1"/>
    <col min="5384" max="5384" width="19.7109375" style="1" customWidth="1"/>
    <col min="5385" max="5632" width="9.140625" style="1"/>
    <col min="5633" max="5633" width="7.7109375" style="1" customWidth="1"/>
    <col min="5634" max="5634" width="10.5703125" style="1" customWidth="1"/>
    <col min="5635" max="5635" width="11.140625" style="1" bestFit="1" customWidth="1"/>
    <col min="5636" max="5636" width="22.140625" style="1" bestFit="1" customWidth="1"/>
    <col min="5637" max="5637" width="12.28515625" style="1" customWidth="1"/>
    <col min="5638" max="5638" width="12.5703125" style="1" customWidth="1"/>
    <col min="5639" max="5639" width="12.140625" style="1" customWidth="1"/>
    <col min="5640" max="5640" width="19.7109375" style="1" customWidth="1"/>
    <col min="5641" max="5888" width="9.140625" style="1"/>
    <col min="5889" max="5889" width="7.7109375" style="1" customWidth="1"/>
    <col min="5890" max="5890" width="10.5703125" style="1" customWidth="1"/>
    <col min="5891" max="5891" width="11.140625" style="1" bestFit="1" customWidth="1"/>
    <col min="5892" max="5892" width="22.140625" style="1" bestFit="1" customWidth="1"/>
    <col min="5893" max="5893" width="12.28515625" style="1" customWidth="1"/>
    <col min="5894" max="5894" width="12.5703125" style="1" customWidth="1"/>
    <col min="5895" max="5895" width="12.140625" style="1" customWidth="1"/>
    <col min="5896" max="5896" width="19.7109375" style="1" customWidth="1"/>
    <col min="5897" max="6144" width="9.140625" style="1"/>
    <col min="6145" max="6145" width="7.7109375" style="1" customWidth="1"/>
    <col min="6146" max="6146" width="10.5703125" style="1" customWidth="1"/>
    <col min="6147" max="6147" width="11.140625" style="1" bestFit="1" customWidth="1"/>
    <col min="6148" max="6148" width="22.140625" style="1" bestFit="1" customWidth="1"/>
    <col min="6149" max="6149" width="12.28515625" style="1" customWidth="1"/>
    <col min="6150" max="6150" width="12.5703125" style="1" customWidth="1"/>
    <col min="6151" max="6151" width="12.140625" style="1" customWidth="1"/>
    <col min="6152" max="6152" width="19.7109375" style="1" customWidth="1"/>
    <col min="6153" max="6400" width="9.140625" style="1"/>
    <col min="6401" max="6401" width="7.7109375" style="1" customWidth="1"/>
    <col min="6402" max="6402" width="10.5703125" style="1" customWidth="1"/>
    <col min="6403" max="6403" width="11.140625" style="1" bestFit="1" customWidth="1"/>
    <col min="6404" max="6404" width="22.140625" style="1" bestFit="1" customWidth="1"/>
    <col min="6405" max="6405" width="12.28515625" style="1" customWidth="1"/>
    <col min="6406" max="6406" width="12.5703125" style="1" customWidth="1"/>
    <col min="6407" max="6407" width="12.140625" style="1" customWidth="1"/>
    <col min="6408" max="6408" width="19.7109375" style="1" customWidth="1"/>
    <col min="6409" max="6656" width="9.140625" style="1"/>
    <col min="6657" max="6657" width="7.7109375" style="1" customWidth="1"/>
    <col min="6658" max="6658" width="10.5703125" style="1" customWidth="1"/>
    <col min="6659" max="6659" width="11.140625" style="1" bestFit="1" customWidth="1"/>
    <col min="6660" max="6660" width="22.140625" style="1" bestFit="1" customWidth="1"/>
    <col min="6661" max="6661" width="12.28515625" style="1" customWidth="1"/>
    <col min="6662" max="6662" width="12.5703125" style="1" customWidth="1"/>
    <col min="6663" max="6663" width="12.140625" style="1" customWidth="1"/>
    <col min="6664" max="6664" width="19.7109375" style="1" customWidth="1"/>
    <col min="6665" max="6912" width="9.140625" style="1"/>
    <col min="6913" max="6913" width="7.7109375" style="1" customWidth="1"/>
    <col min="6914" max="6914" width="10.5703125" style="1" customWidth="1"/>
    <col min="6915" max="6915" width="11.140625" style="1" bestFit="1" customWidth="1"/>
    <col min="6916" max="6916" width="22.140625" style="1" bestFit="1" customWidth="1"/>
    <col min="6917" max="6917" width="12.28515625" style="1" customWidth="1"/>
    <col min="6918" max="6918" width="12.5703125" style="1" customWidth="1"/>
    <col min="6919" max="6919" width="12.140625" style="1" customWidth="1"/>
    <col min="6920" max="6920" width="19.7109375" style="1" customWidth="1"/>
    <col min="6921" max="7168" width="9.140625" style="1"/>
    <col min="7169" max="7169" width="7.7109375" style="1" customWidth="1"/>
    <col min="7170" max="7170" width="10.5703125" style="1" customWidth="1"/>
    <col min="7171" max="7171" width="11.140625" style="1" bestFit="1" customWidth="1"/>
    <col min="7172" max="7172" width="22.140625" style="1" bestFit="1" customWidth="1"/>
    <col min="7173" max="7173" width="12.28515625" style="1" customWidth="1"/>
    <col min="7174" max="7174" width="12.5703125" style="1" customWidth="1"/>
    <col min="7175" max="7175" width="12.140625" style="1" customWidth="1"/>
    <col min="7176" max="7176" width="19.7109375" style="1" customWidth="1"/>
    <col min="7177" max="7424" width="9.140625" style="1"/>
    <col min="7425" max="7425" width="7.7109375" style="1" customWidth="1"/>
    <col min="7426" max="7426" width="10.5703125" style="1" customWidth="1"/>
    <col min="7427" max="7427" width="11.140625" style="1" bestFit="1" customWidth="1"/>
    <col min="7428" max="7428" width="22.140625" style="1" bestFit="1" customWidth="1"/>
    <col min="7429" max="7429" width="12.28515625" style="1" customWidth="1"/>
    <col min="7430" max="7430" width="12.5703125" style="1" customWidth="1"/>
    <col min="7431" max="7431" width="12.140625" style="1" customWidth="1"/>
    <col min="7432" max="7432" width="19.7109375" style="1" customWidth="1"/>
    <col min="7433" max="7680" width="9.140625" style="1"/>
    <col min="7681" max="7681" width="7.7109375" style="1" customWidth="1"/>
    <col min="7682" max="7682" width="10.5703125" style="1" customWidth="1"/>
    <col min="7683" max="7683" width="11.140625" style="1" bestFit="1" customWidth="1"/>
    <col min="7684" max="7684" width="22.140625" style="1" bestFit="1" customWidth="1"/>
    <col min="7685" max="7685" width="12.28515625" style="1" customWidth="1"/>
    <col min="7686" max="7686" width="12.5703125" style="1" customWidth="1"/>
    <col min="7687" max="7687" width="12.140625" style="1" customWidth="1"/>
    <col min="7688" max="7688" width="19.7109375" style="1" customWidth="1"/>
    <col min="7689" max="7936" width="9.140625" style="1"/>
    <col min="7937" max="7937" width="7.7109375" style="1" customWidth="1"/>
    <col min="7938" max="7938" width="10.5703125" style="1" customWidth="1"/>
    <col min="7939" max="7939" width="11.140625" style="1" bestFit="1" customWidth="1"/>
    <col min="7940" max="7940" width="22.140625" style="1" bestFit="1" customWidth="1"/>
    <col min="7941" max="7941" width="12.28515625" style="1" customWidth="1"/>
    <col min="7942" max="7942" width="12.5703125" style="1" customWidth="1"/>
    <col min="7943" max="7943" width="12.140625" style="1" customWidth="1"/>
    <col min="7944" max="7944" width="19.7109375" style="1" customWidth="1"/>
    <col min="7945" max="8192" width="9.140625" style="1"/>
    <col min="8193" max="8193" width="7.7109375" style="1" customWidth="1"/>
    <col min="8194" max="8194" width="10.5703125" style="1" customWidth="1"/>
    <col min="8195" max="8195" width="11.140625" style="1" bestFit="1" customWidth="1"/>
    <col min="8196" max="8196" width="22.140625" style="1" bestFit="1" customWidth="1"/>
    <col min="8197" max="8197" width="12.28515625" style="1" customWidth="1"/>
    <col min="8198" max="8198" width="12.5703125" style="1" customWidth="1"/>
    <col min="8199" max="8199" width="12.140625" style="1" customWidth="1"/>
    <col min="8200" max="8200" width="19.7109375" style="1" customWidth="1"/>
    <col min="8201" max="8448" width="9.140625" style="1"/>
    <col min="8449" max="8449" width="7.7109375" style="1" customWidth="1"/>
    <col min="8450" max="8450" width="10.5703125" style="1" customWidth="1"/>
    <col min="8451" max="8451" width="11.140625" style="1" bestFit="1" customWidth="1"/>
    <col min="8452" max="8452" width="22.140625" style="1" bestFit="1" customWidth="1"/>
    <col min="8453" max="8453" width="12.28515625" style="1" customWidth="1"/>
    <col min="8454" max="8454" width="12.5703125" style="1" customWidth="1"/>
    <col min="8455" max="8455" width="12.140625" style="1" customWidth="1"/>
    <col min="8456" max="8456" width="19.7109375" style="1" customWidth="1"/>
    <col min="8457" max="8704" width="9.140625" style="1"/>
    <col min="8705" max="8705" width="7.7109375" style="1" customWidth="1"/>
    <col min="8706" max="8706" width="10.5703125" style="1" customWidth="1"/>
    <col min="8707" max="8707" width="11.140625" style="1" bestFit="1" customWidth="1"/>
    <col min="8708" max="8708" width="22.140625" style="1" bestFit="1" customWidth="1"/>
    <col min="8709" max="8709" width="12.28515625" style="1" customWidth="1"/>
    <col min="8710" max="8710" width="12.5703125" style="1" customWidth="1"/>
    <col min="8711" max="8711" width="12.140625" style="1" customWidth="1"/>
    <col min="8712" max="8712" width="19.7109375" style="1" customWidth="1"/>
    <col min="8713" max="8960" width="9.140625" style="1"/>
    <col min="8961" max="8961" width="7.7109375" style="1" customWidth="1"/>
    <col min="8962" max="8962" width="10.5703125" style="1" customWidth="1"/>
    <col min="8963" max="8963" width="11.140625" style="1" bestFit="1" customWidth="1"/>
    <col min="8964" max="8964" width="22.140625" style="1" bestFit="1" customWidth="1"/>
    <col min="8965" max="8965" width="12.28515625" style="1" customWidth="1"/>
    <col min="8966" max="8966" width="12.5703125" style="1" customWidth="1"/>
    <col min="8967" max="8967" width="12.140625" style="1" customWidth="1"/>
    <col min="8968" max="8968" width="19.7109375" style="1" customWidth="1"/>
    <col min="8969" max="9216" width="9.140625" style="1"/>
    <col min="9217" max="9217" width="7.7109375" style="1" customWidth="1"/>
    <col min="9218" max="9218" width="10.5703125" style="1" customWidth="1"/>
    <col min="9219" max="9219" width="11.140625" style="1" bestFit="1" customWidth="1"/>
    <col min="9220" max="9220" width="22.140625" style="1" bestFit="1" customWidth="1"/>
    <col min="9221" max="9221" width="12.28515625" style="1" customWidth="1"/>
    <col min="9222" max="9222" width="12.5703125" style="1" customWidth="1"/>
    <col min="9223" max="9223" width="12.140625" style="1" customWidth="1"/>
    <col min="9224" max="9224" width="19.7109375" style="1" customWidth="1"/>
    <col min="9225" max="9472" width="9.140625" style="1"/>
    <col min="9473" max="9473" width="7.7109375" style="1" customWidth="1"/>
    <col min="9474" max="9474" width="10.5703125" style="1" customWidth="1"/>
    <col min="9475" max="9475" width="11.140625" style="1" bestFit="1" customWidth="1"/>
    <col min="9476" max="9476" width="22.140625" style="1" bestFit="1" customWidth="1"/>
    <col min="9477" max="9477" width="12.28515625" style="1" customWidth="1"/>
    <col min="9478" max="9478" width="12.5703125" style="1" customWidth="1"/>
    <col min="9479" max="9479" width="12.140625" style="1" customWidth="1"/>
    <col min="9480" max="9480" width="19.7109375" style="1" customWidth="1"/>
    <col min="9481" max="9728" width="9.140625" style="1"/>
    <col min="9729" max="9729" width="7.7109375" style="1" customWidth="1"/>
    <col min="9730" max="9730" width="10.5703125" style="1" customWidth="1"/>
    <col min="9731" max="9731" width="11.140625" style="1" bestFit="1" customWidth="1"/>
    <col min="9732" max="9732" width="22.140625" style="1" bestFit="1" customWidth="1"/>
    <col min="9733" max="9733" width="12.28515625" style="1" customWidth="1"/>
    <col min="9734" max="9734" width="12.5703125" style="1" customWidth="1"/>
    <col min="9735" max="9735" width="12.140625" style="1" customWidth="1"/>
    <col min="9736" max="9736" width="19.7109375" style="1" customWidth="1"/>
    <col min="9737" max="9984" width="9.140625" style="1"/>
    <col min="9985" max="9985" width="7.7109375" style="1" customWidth="1"/>
    <col min="9986" max="9986" width="10.5703125" style="1" customWidth="1"/>
    <col min="9987" max="9987" width="11.140625" style="1" bestFit="1" customWidth="1"/>
    <col min="9988" max="9988" width="22.140625" style="1" bestFit="1" customWidth="1"/>
    <col min="9989" max="9989" width="12.28515625" style="1" customWidth="1"/>
    <col min="9990" max="9990" width="12.5703125" style="1" customWidth="1"/>
    <col min="9991" max="9991" width="12.140625" style="1" customWidth="1"/>
    <col min="9992" max="9992" width="19.7109375" style="1" customWidth="1"/>
    <col min="9993" max="10240" width="9.140625" style="1"/>
    <col min="10241" max="10241" width="7.7109375" style="1" customWidth="1"/>
    <col min="10242" max="10242" width="10.5703125" style="1" customWidth="1"/>
    <col min="10243" max="10243" width="11.140625" style="1" bestFit="1" customWidth="1"/>
    <col min="10244" max="10244" width="22.140625" style="1" bestFit="1" customWidth="1"/>
    <col min="10245" max="10245" width="12.28515625" style="1" customWidth="1"/>
    <col min="10246" max="10246" width="12.5703125" style="1" customWidth="1"/>
    <col min="10247" max="10247" width="12.140625" style="1" customWidth="1"/>
    <col min="10248" max="10248" width="19.7109375" style="1" customWidth="1"/>
    <col min="10249" max="10496" width="9.140625" style="1"/>
    <col min="10497" max="10497" width="7.7109375" style="1" customWidth="1"/>
    <col min="10498" max="10498" width="10.5703125" style="1" customWidth="1"/>
    <col min="10499" max="10499" width="11.140625" style="1" bestFit="1" customWidth="1"/>
    <col min="10500" max="10500" width="22.140625" style="1" bestFit="1" customWidth="1"/>
    <col min="10501" max="10501" width="12.28515625" style="1" customWidth="1"/>
    <col min="10502" max="10502" width="12.5703125" style="1" customWidth="1"/>
    <col min="10503" max="10503" width="12.140625" style="1" customWidth="1"/>
    <col min="10504" max="10504" width="19.7109375" style="1" customWidth="1"/>
    <col min="10505" max="10752" width="9.140625" style="1"/>
    <col min="10753" max="10753" width="7.7109375" style="1" customWidth="1"/>
    <col min="10754" max="10754" width="10.5703125" style="1" customWidth="1"/>
    <col min="10755" max="10755" width="11.140625" style="1" bestFit="1" customWidth="1"/>
    <col min="10756" max="10756" width="22.140625" style="1" bestFit="1" customWidth="1"/>
    <col min="10757" max="10757" width="12.28515625" style="1" customWidth="1"/>
    <col min="10758" max="10758" width="12.5703125" style="1" customWidth="1"/>
    <col min="10759" max="10759" width="12.140625" style="1" customWidth="1"/>
    <col min="10760" max="10760" width="19.7109375" style="1" customWidth="1"/>
    <col min="10761" max="11008" width="9.140625" style="1"/>
    <col min="11009" max="11009" width="7.7109375" style="1" customWidth="1"/>
    <col min="11010" max="11010" width="10.5703125" style="1" customWidth="1"/>
    <col min="11011" max="11011" width="11.140625" style="1" bestFit="1" customWidth="1"/>
    <col min="11012" max="11012" width="22.140625" style="1" bestFit="1" customWidth="1"/>
    <col min="11013" max="11013" width="12.28515625" style="1" customWidth="1"/>
    <col min="11014" max="11014" width="12.5703125" style="1" customWidth="1"/>
    <col min="11015" max="11015" width="12.140625" style="1" customWidth="1"/>
    <col min="11016" max="11016" width="19.7109375" style="1" customWidth="1"/>
    <col min="11017" max="11264" width="9.140625" style="1"/>
    <col min="11265" max="11265" width="7.7109375" style="1" customWidth="1"/>
    <col min="11266" max="11266" width="10.5703125" style="1" customWidth="1"/>
    <col min="11267" max="11267" width="11.140625" style="1" bestFit="1" customWidth="1"/>
    <col min="11268" max="11268" width="22.140625" style="1" bestFit="1" customWidth="1"/>
    <col min="11269" max="11269" width="12.28515625" style="1" customWidth="1"/>
    <col min="11270" max="11270" width="12.5703125" style="1" customWidth="1"/>
    <col min="11271" max="11271" width="12.140625" style="1" customWidth="1"/>
    <col min="11272" max="11272" width="19.7109375" style="1" customWidth="1"/>
    <col min="11273" max="11520" width="9.140625" style="1"/>
    <col min="11521" max="11521" width="7.7109375" style="1" customWidth="1"/>
    <col min="11522" max="11522" width="10.5703125" style="1" customWidth="1"/>
    <col min="11523" max="11523" width="11.140625" style="1" bestFit="1" customWidth="1"/>
    <col min="11524" max="11524" width="22.140625" style="1" bestFit="1" customWidth="1"/>
    <col min="11525" max="11525" width="12.28515625" style="1" customWidth="1"/>
    <col min="11526" max="11526" width="12.5703125" style="1" customWidth="1"/>
    <col min="11527" max="11527" width="12.140625" style="1" customWidth="1"/>
    <col min="11528" max="11528" width="19.7109375" style="1" customWidth="1"/>
    <col min="11529" max="11776" width="9.140625" style="1"/>
    <col min="11777" max="11777" width="7.7109375" style="1" customWidth="1"/>
    <col min="11778" max="11778" width="10.5703125" style="1" customWidth="1"/>
    <col min="11779" max="11779" width="11.140625" style="1" bestFit="1" customWidth="1"/>
    <col min="11780" max="11780" width="22.140625" style="1" bestFit="1" customWidth="1"/>
    <col min="11781" max="11781" width="12.28515625" style="1" customWidth="1"/>
    <col min="11782" max="11782" width="12.5703125" style="1" customWidth="1"/>
    <col min="11783" max="11783" width="12.140625" style="1" customWidth="1"/>
    <col min="11784" max="11784" width="19.7109375" style="1" customWidth="1"/>
    <col min="11785" max="12032" width="9.140625" style="1"/>
    <col min="12033" max="12033" width="7.7109375" style="1" customWidth="1"/>
    <col min="12034" max="12034" width="10.5703125" style="1" customWidth="1"/>
    <col min="12035" max="12035" width="11.140625" style="1" bestFit="1" customWidth="1"/>
    <col min="12036" max="12036" width="22.140625" style="1" bestFit="1" customWidth="1"/>
    <col min="12037" max="12037" width="12.28515625" style="1" customWidth="1"/>
    <col min="12038" max="12038" width="12.5703125" style="1" customWidth="1"/>
    <col min="12039" max="12039" width="12.140625" style="1" customWidth="1"/>
    <col min="12040" max="12040" width="19.7109375" style="1" customWidth="1"/>
    <col min="12041" max="12288" width="9.140625" style="1"/>
    <col min="12289" max="12289" width="7.7109375" style="1" customWidth="1"/>
    <col min="12290" max="12290" width="10.5703125" style="1" customWidth="1"/>
    <col min="12291" max="12291" width="11.140625" style="1" bestFit="1" customWidth="1"/>
    <col min="12292" max="12292" width="22.140625" style="1" bestFit="1" customWidth="1"/>
    <col min="12293" max="12293" width="12.28515625" style="1" customWidth="1"/>
    <col min="12294" max="12294" width="12.5703125" style="1" customWidth="1"/>
    <col min="12295" max="12295" width="12.140625" style="1" customWidth="1"/>
    <col min="12296" max="12296" width="19.7109375" style="1" customWidth="1"/>
    <col min="12297" max="12544" width="9.140625" style="1"/>
    <col min="12545" max="12545" width="7.7109375" style="1" customWidth="1"/>
    <col min="12546" max="12546" width="10.5703125" style="1" customWidth="1"/>
    <col min="12547" max="12547" width="11.140625" style="1" bestFit="1" customWidth="1"/>
    <col min="12548" max="12548" width="22.140625" style="1" bestFit="1" customWidth="1"/>
    <col min="12549" max="12549" width="12.28515625" style="1" customWidth="1"/>
    <col min="12550" max="12550" width="12.5703125" style="1" customWidth="1"/>
    <col min="12551" max="12551" width="12.140625" style="1" customWidth="1"/>
    <col min="12552" max="12552" width="19.7109375" style="1" customWidth="1"/>
    <col min="12553" max="12800" width="9.140625" style="1"/>
    <col min="12801" max="12801" width="7.7109375" style="1" customWidth="1"/>
    <col min="12802" max="12802" width="10.5703125" style="1" customWidth="1"/>
    <col min="12803" max="12803" width="11.140625" style="1" bestFit="1" customWidth="1"/>
    <col min="12804" max="12804" width="22.140625" style="1" bestFit="1" customWidth="1"/>
    <col min="12805" max="12805" width="12.28515625" style="1" customWidth="1"/>
    <col min="12806" max="12806" width="12.5703125" style="1" customWidth="1"/>
    <col min="12807" max="12807" width="12.140625" style="1" customWidth="1"/>
    <col min="12808" max="12808" width="19.7109375" style="1" customWidth="1"/>
    <col min="12809" max="13056" width="9.140625" style="1"/>
    <col min="13057" max="13057" width="7.7109375" style="1" customWidth="1"/>
    <col min="13058" max="13058" width="10.5703125" style="1" customWidth="1"/>
    <col min="13059" max="13059" width="11.140625" style="1" bestFit="1" customWidth="1"/>
    <col min="13060" max="13060" width="22.140625" style="1" bestFit="1" customWidth="1"/>
    <col min="13061" max="13061" width="12.28515625" style="1" customWidth="1"/>
    <col min="13062" max="13062" width="12.5703125" style="1" customWidth="1"/>
    <col min="13063" max="13063" width="12.140625" style="1" customWidth="1"/>
    <col min="13064" max="13064" width="19.7109375" style="1" customWidth="1"/>
    <col min="13065" max="13312" width="9.140625" style="1"/>
    <col min="13313" max="13313" width="7.7109375" style="1" customWidth="1"/>
    <col min="13314" max="13314" width="10.5703125" style="1" customWidth="1"/>
    <col min="13315" max="13315" width="11.140625" style="1" bestFit="1" customWidth="1"/>
    <col min="13316" max="13316" width="22.140625" style="1" bestFit="1" customWidth="1"/>
    <col min="13317" max="13317" width="12.28515625" style="1" customWidth="1"/>
    <col min="13318" max="13318" width="12.5703125" style="1" customWidth="1"/>
    <col min="13319" max="13319" width="12.140625" style="1" customWidth="1"/>
    <col min="13320" max="13320" width="19.7109375" style="1" customWidth="1"/>
    <col min="13321" max="13568" width="9.140625" style="1"/>
    <col min="13569" max="13569" width="7.7109375" style="1" customWidth="1"/>
    <col min="13570" max="13570" width="10.5703125" style="1" customWidth="1"/>
    <col min="13571" max="13571" width="11.140625" style="1" bestFit="1" customWidth="1"/>
    <col min="13572" max="13572" width="22.140625" style="1" bestFit="1" customWidth="1"/>
    <col min="13573" max="13573" width="12.28515625" style="1" customWidth="1"/>
    <col min="13574" max="13574" width="12.5703125" style="1" customWidth="1"/>
    <col min="13575" max="13575" width="12.140625" style="1" customWidth="1"/>
    <col min="13576" max="13576" width="19.7109375" style="1" customWidth="1"/>
    <col min="13577" max="13824" width="9.140625" style="1"/>
    <col min="13825" max="13825" width="7.7109375" style="1" customWidth="1"/>
    <col min="13826" max="13826" width="10.5703125" style="1" customWidth="1"/>
    <col min="13827" max="13827" width="11.140625" style="1" bestFit="1" customWidth="1"/>
    <col min="13828" max="13828" width="22.140625" style="1" bestFit="1" customWidth="1"/>
    <col min="13829" max="13829" width="12.28515625" style="1" customWidth="1"/>
    <col min="13830" max="13830" width="12.5703125" style="1" customWidth="1"/>
    <col min="13831" max="13831" width="12.140625" style="1" customWidth="1"/>
    <col min="13832" max="13832" width="19.7109375" style="1" customWidth="1"/>
    <col min="13833" max="14080" width="9.140625" style="1"/>
    <col min="14081" max="14081" width="7.7109375" style="1" customWidth="1"/>
    <col min="14082" max="14082" width="10.5703125" style="1" customWidth="1"/>
    <col min="14083" max="14083" width="11.140625" style="1" bestFit="1" customWidth="1"/>
    <col min="14084" max="14084" width="22.140625" style="1" bestFit="1" customWidth="1"/>
    <col min="14085" max="14085" width="12.28515625" style="1" customWidth="1"/>
    <col min="14086" max="14086" width="12.5703125" style="1" customWidth="1"/>
    <col min="14087" max="14087" width="12.140625" style="1" customWidth="1"/>
    <col min="14088" max="14088" width="19.7109375" style="1" customWidth="1"/>
    <col min="14089" max="14336" width="9.140625" style="1"/>
    <col min="14337" max="14337" width="7.7109375" style="1" customWidth="1"/>
    <col min="14338" max="14338" width="10.5703125" style="1" customWidth="1"/>
    <col min="14339" max="14339" width="11.140625" style="1" bestFit="1" customWidth="1"/>
    <col min="14340" max="14340" width="22.140625" style="1" bestFit="1" customWidth="1"/>
    <col min="14341" max="14341" width="12.28515625" style="1" customWidth="1"/>
    <col min="14342" max="14342" width="12.5703125" style="1" customWidth="1"/>
    <col min="14343" max="14343" width="12.140625" style="1" customWidth="1"/>
    <col min="14344" max="14344" width="19.7109375" style="1" customWidth="1"/>
    <col min="14345" max="14592" width="9.140625" style="1"/>
    <col min="14593" max="14593" width="7.7109375" style="1" customWidth="1"/>
    <col min="14594" max="14594" width="10.5703125" style="1" customWidth="1"/>
    <col min="14595" max="14595" width="11.140625" style="1" bestFit="1" customWidth="1"/>
    <col min="14596" max="14596" width="22.140625" style="1" bestFit="1" customWidth="1"/>
    <col min="14597" max="14597" width="12.28515625" style="1" customWidth="1"/>
    <col min="14598" max="14598" width="12.5703125" style="1" customWidth="1"/>
    <col min="14599" max="14599" width="12.140625" style="1" customWidth="1"/>
    <col min="14600" max="14600" width="19.7109375" style="1" customWidth="1"/>
    <col min="14601" max="14848" width="9.140625" style="1"/>
    <col min="14849" max="14849" width="7.7109375" style="1" customWidth="1"/>
    <col min="14850" max="14850" width="10.5703125" style="1" customWidth="1"/>
    <col min="14851" max="14851" width="11.140625" style="1" bestFit="1" customWidth="1"/>
    <col min="14852" max="14852" width="22.140625" style="1" bestFit="1" customWidth="1"/>
    <col min="14853" max="14853" width="12.28515625" style="1" customWidth="1"/>
    <col min="14854" max="14854" width="12.5703125" style="1" customWidth="1"/>
    <col min="14855" max="14855" width="12.140625" style="1" customWidth="1"/>
    <col min="14856" max="14856" width="19.7109375" style="1" customWidth="1"/>
    <col min="14857" max="15104" width="9.140625" style="1"/>
    <col min="15105" max="15105" width="7.7109375" style="1" customWidth="1"/>
    <col min="15106" max="15106" width="10.5703125" style="1" customWidth="1"/>
    <col min="15107" max="15107" width="11.140625" style="1" bestFit="1" customWidth="1"/>
    <col min="15108" max="15108" width="22.140625" style="1" bestFit="1" customWidth="1"/>
    <col min="15109" max="15109" width="12.28515625" style="1" customWidth="1"/>
    <col min="15110" max="15110" width="12.5703125" style="1" customWidth="1"/>
    <col min="15111" max="15111" width="12.140625" style="1" customWidth="1"/>
    <col min="15112" max="15112" width="19.7109375" style="1" customWidth="1"/>
    <col min="15113" max="15360" width="9.140625" style="1"/>
    <col min="15361" max="15361" width="7.7109375" style="1" customWidth="1"/>
    <col min="15362" max="15362" width="10.5703125" style="1" customWidth="1"/>
    <col min="15363" max="15363" width="11.140625" style="1" bestFit="1" customWidth="1"/>
    <col min="15364" max="15364" width="22.140625" style="1" bestFit="1" customWidth="1"/>
    <col min="15365" max="15365" width="12.28515625" style="1" customWidth="1"/>
    <col min="15366" max="15366" width="12.5703125" style="1" customWidth="1"/>
    <col min="15367" max="15367" width="12.140625" style="1" customWidth="1"/>
    <col min="15368" max="15368" width="19.7109375" style="1" customWidth="1"/>
    <col min="15369" max="15616" width="9.140625" style="1"/>
    <col min="15617" max="15617" width="7.7109375" style="1" customWidth="1"/>
    <col min="15618" max="15618" width="10.5703125" style="1" customWidth="1"/>
    <col min="15619" max="15619" width="11.140625" style="1" bestFit="1" customWidth="1"/>
    <col min="15620" max="15620" width="22.140625" style="1" bestFit="1" customWidth="1"/>
    <col min="15621" max="15621" width="12.28515625" style="1" customWidth="1"/>
    <col min="15622" max="15622" width="12.5703125" style="1" customWidth="1"/>
    <col min="15623" max="15623" width="12.140625" style="1" customWidth="1"/>
    <col min="15624" max="15624" width="19.7109375" style="1" customWidth="1"/>
    <col min="15625" max="15872" width="9.140625" style="1"/>
    <col min="15873" max="15873" width="7.7109375" style="1" customWidth="1"/>
    <col min="15874" max="15874" width="10.5703125" style="1" customWidth="1"/>
    <col min="15875" max="15875" width="11.140625" style="1" bestFit="1" customWidth="1"/>
    <col min="15876" max="15876" width="22.140625" style="1" bestFit="1" customWidth="1"/>
    <col min="15877" max="15877" width="12.28515625" style="1" customWidth="1"/>
    <col min="15878" max="15878" width="12.5703125" style="1" customWidth="1"/>
    <col min="15879" max="15879" width="12.140625" style="1" customWidth="1"/>
    <col min="15880" max="15880" width="19.7109375" style="1" customWidth="1"/>
    <col min="15881" max="16128" width="9.140625" style="1"/>
    <col min="16129" max="16129" width="7.7109375" style="1" customWidth="1"/>
    <col min="16130" max="16130" width="10.5703125" style="1" customWidth="1"/>
    <col min="16131" max="16131" width="11.140625" style="1" bestFit="1" customWidth="1"/>
    <col min="16132" max="16132" width="22.140625" style="1" bestFit="1" customWidth="1"/>
    <col min="16133" max="16133" width="12.28515625" style="1" customWidth="1"/>
    <col min="16134" max="16134" width="12.5703125" style="1" customWidth="1"/>
    <col min="16135" max="16135" width="12.140625" style="1" customWidth="1"/>
    <col min="16136" max="16136" width="19.7109375" style="1" customWidth="1"/>
    <col min="16137" max="16384" width="9.140625" style="1"/>
  </cols>
  <sheetData>
    <row r="1" spans="1:11" ht="50.1" customHeight="1">
      <c r="A1" s="2107"/>
      <c r="B1" s="2107"/>
      <c r="C1" s="258"/>
      <c r="D1" s="258"/>
      <c r="E1" s="258"/>
      <c r="F1" s="258"/>
      <c r="G1" s="339" t="s">
        <v>1061</v>
      </c>
    </row>
    <row r="2" spans="1:11" ht="30" customHeight="1">
      <c r="A2" s="1980" t="s">
        <v>278</v>
      </c>
      <c r="B2" s="1980"/>
      <c r="C2" s="1980"/>
      <c r="D2" s="1980"/>
      <c r="E2" s="1980"/>
      <c r="F2" s="1980"/>
      <c r="G2" s="1980"/>
    </row>
    <row r="3" spans="1:11" ht="15">
      <c r="A3" s="184"/>
      <c r="B3" s="184"/>
      <c r="C3" s="184"/>
      <c r="D3" s="184"/>
      <c r="E3" s="184"/>
      <c r="F3" s="184"/>
      <c r="G3" s="5" t="s">
        <v>21</v>
      </c>
    </row>
    <row r="4" spans="1:11" ht="20.100000000000001" customHeight="1" thickBot="1">
      <c r="A4" s="2098" t="s">
        <v>24</v>
      </c>
      <c r="B4" s="2098"/>
      <c r="C4" s="2098"/>
      <c r="D4" s="2098"/>
      <c r="E4" s="2098"/>
      <c r="F4" s="2098"/>
      <c r="G4" s="2098"/>
      <c r="H4" s="340"/>
      <c r="I4" s="340"/>
      <c r="J4" s="340"/>
      <c r="K4" s="341"/>
    </row>
    <row r="5" spans="1:11" ht="20.100000000000001" customHeight="1">
      <c r="A5" s="2099" t="s">
        <v>0</v>
      </c>
      <c r="B5" s="2101" t="s">
        <v>1</v>
      </c>
      <c r="C5" s="2101" t="s">
        <v>5</v>
      </c>
      <c r="D5" s="2103" t="s">
        <v>279</v>
      </c>
      <c r="E5" s="2101" t="s">
        <v>2</v>
      </c>
      <c r="F5" s="2101"/>
      <c r="G5" s="2105" t="s">
        <v>144</v>
      </c>
      <c r="H5" s="341"/>
      <c r="I5" s="341"/>
      <c r="J5" s="2"/>
    </row>
    <row r="6" spans="1:11" ht="20.100000000000001" customHeight="1">
      <c r="A6" s="2100"/>
      <c r="B6" s="2102"/>
      <c r="C6" s="2102"/>
      <c r="D6" s="2104"/>
      <c r="E6" s="342" t="s">
        <v>20</v>
      </c>
      <c r="F6" s="342" t="s">
        <v>19</v>
      </c>
      <c r="G6" s="2106"/>
      <c r="H6" s="341"/>
      <c r="I6" s="341"/>
      <c r="J6" s="2"/>
    </row>
    <row r="7" spans="1:11" s="101" customFormat="1" ht="50.1" customHeight="1">
      <c r="A7" s="343">
        <v>855</v>
      </c>
      <c r="B7" s="204">
        <v>85504</v>
      </c>
      <c r="C7" s="204">
        <v>2057</v>
      </c>
      <c r="D7" s="344">
        <f t="shared" ref="D7" si="0">SUM(E7:F7)</f>
        <v>1270121</v>
      </c>
      <c r="E7" s="345">
        <v>1270121</v>
      </c>
      <c r="F7" s="344">
        <v>0</v>
      </c>
      <c r="G7" s="346" t="s">
        <v>280</v>
      </c>
      <c r="H7" s="347"/>
      <c r="I7" s="347"/>
      <c r="J7" s="347"/>
    </row>
    <row r="8" spans="1:11" ht="24.95" customHeight="1" thickBot="1">
      <c r="A8" s="2096" t="s">
        <v>22</v>
      </c>
      <c r="B8" s="2097"/>
      <c r="C8" s="2097"/>
      <c r="D8" s="348">
        <f>SUM(D7:D7)</f>
        <v>1270121</v>
      </c>
      <c r="E8" s="348">
        <f>SUM(E7:E7)</f>
        <v>1270121</v>
      </c>
      <c r="F8" s="348">
        <f>SUM(F7:F7)</f>
        <v>0</v>
      </c>
      <c r="G8" s="349"/>
      <c r="H8" s="350"/>
      <c r="I8" s="2"/>
      <c r="J8" s="2"/>
    </row>
    <row r="9" spans="1:11" s="356" customFormat="1" ht="20.25" customHeight="1">
      <c r="A9" s="351"/>
      <c r="B9" s="351"/>
      <c r="C9" s="351"/>
      <c r="D9" s="352"/>
      <c r="E9" s="352"/>
      <c r="F9" s="352"/>
      <c r="G9" s="353"/>
      <c r="H9" s="354"/>
      <c r="I9" s="355"/>
      <c r="J9" s="355"/>
    </row>
    <row r="10" spans="1:11" ht="20.100000000000001" customHeight="1" thickBot="1">
      <c r="A10" s="2098" t="s">
        <v>23</v>
      </c>
      <c r="B10" s="2098"/>
      <c r="C10" s="2098"/>
      <c r="D10" s="2098"/>
      <c r="E10" s="2098"/>
      <c r="F10" s="2098"/>
      <c r="G10" s="2098"/>
      <c r="H10" s="340"/>
      <c r="I10" s="340"/>
      <c r="J10" s="340"/>
      <c r="K10" s="341"/>
    </row>
    <row r="11" spans="1:11" ht="20.100000000000001" customHeight="1">
      <c r="A11" s="2099" t="s">
        <v>0</v>
      </c>
      <c r="B11" s="2101" t="s">
        <v>1</v>
      </c>
      <c r="C11" s="2101" t="s">
        <v>5</v>
      </c>
      <c r="D11" s="2103" t="s">
        <v>279</v>
      </c>
      <c r="E11" s="2101" t="s">
        <v>2</v>
      </c>
      <c r="F11" s="2101"/>
      <c r="G11" s="2105" t="s">
        <v>144</v>
      </c>
      <c r="H11" s="341"/>
      <c r="I11" s="341"/>
      <c r="J11" s="2"/>
    </row>
    <row r="12" spans="1:11" ht="20.100000000000001" customHeight="1">
      <c r="A12" s="2100"/>
      <c r="B12" s="2102"/>
      <c r="C12" s="2102"/>
      <c r="D12" s="2104"/>
      <c r="E12" s="342" t="s">
        <v>20</v>
      </c>
      <c r="F12" s="342" t="s">
        <v>19</v>
      </c>
      <c r="G12" s="2106"/>
      <c r="H12" s="341"/>
      <c r="I12" s="341"/>
      <c r="J12" s="2"/>
    </row>
    <row r="13" spans="1:11" s="101" customFormat="1" ht="50.1" customHeight="1">
      <c r="A13" s="343">
        <v>853</v>
      </c>
      <c r="B13" s="204">
        <v>85395</v>
      </c>
      <c r="C13" s="204">
        <v>2009</v>
      </c>
      <c r="D13" s="344">
        <f t="shared" ref="D13" si="1">SUM(E13:F13)</f>
        <v>1461000</v>
      </c>
      <c r="E13" s="345">
        <v>1461000</v>
      </c>
      <c r="F13" s="344">
        <v>0</v>
      </c>
      <c r="G13" s="346" t="s">
        <v>281</v>
      </c>
      <c r="H13" s="347"/>
      <c r="I13" s="347"/>
      <c r="J13" s="347"/>
    </row>
    <row r="14" spans="1:11" ht="24.95" customHeight="1" thickBot="1">
      <c r="A14" s="2096" t="s">
        <v>22</v>
      </c>
      <c r="B14" s="2097"/>
      <c r="C14" s="2097"/>
      <c r="D14" s="348">
        <f>SUM(D13:D13)</f>
        <v>1461000</v>
      </c>
      <c r="E14" s="348">
        <f>SUM(E13:E13)</f>
        <v>1461000</v>
      </c>
      <c r="F14" s="348">
        <f>SUM(F13:F13)</f>
        <v>0</v>
      </c>
      <c r="G14" s="349"/>
      <c r="H14" s="350"/>
      <c r="I14" s="2"/>
      <c r="J14" s="2"/>
    </row>
    <row r="15" spans="1:11">
      <c r="A15" s="357"/>
      <c r="B15" s="358"/>
      <c r="C15" s="359"/>
      <c r="D15" s="359"/>
      <c r="E15" s="359"/>
      <c r="F15" s="359"/>
      <c r="G15" s="360"/>
      <c r="H15" s="350"/>
      <c r="I15" s="2"/>
      <c r="J15" s="2"/>
    </row>
    <row r="16" spans="1:11">
      <c r="A16" s="357"/>
      <c r="B16" s="358"/>
      <c r="C16" s="359"/>
      <c r="D16" s="361"/>
      <c r="E16" s="361"/>
      <c r="F16" s="361"/>
      <c r="G16" s="362"/>
      <c r="H16" s="350"/>
      <c r="I16" s="2"/>
      <c r="J16" s="2"/>
    </row>
    <row r="17" spans="1:10">
      <c r="A17" s="363"/>
      <c r="B17" s="358"/>
      <c r="C17" s="359"/>
      <c r="D17" s="359"/>
      <c r="E17" s="359"/>
      <c r="F17" s="359"/>
      <c r="G17" s="364"/>
      <c r="H17" s="350"/>
      <c r="I17" s="2"/>
      <c r="J17" s="2"/>
    </row>
    <row r="18" spans="1:10">
      <c r="A18" s="363"/>
      <c r="B18" s="358"/>
      <c r="C18" s="359"/>
      <c r="D18" s="359"/>
      <c r="E18" s="365"/>
      <c r="F18" s="366"/>
      <c r="G18" s="364"/>
      <c r="H18" s="350"/>
      <c r="I18" s="2"/>
      <c r="J18" s="2"/>
    </row>
    <row r="19" spans="1:10">
      <c r="A19" s="363"/>
      <c r="B19" s="358"/>
      <c r="C19" s="359"/>
      <c r="D19" s="359"/>
      <c r="E19" s="359"/>
      <c r="F19" s="359"/>
      <c r="G19" s="364"/>
      <c r="H19" s="350"/>
      <c r="I19" s="2"/>
      <c r="J19" s="2"/>
    </row>
    <row r="20" spans="1:10" s="372" customFormat="1">
      <c r="A20" s="367"/>
      <c r="B20" s="358"/>
      <c r="C20" s="368"/>
      <c r="D20" s="368"/>
      <c r="E20" s="365"/>
      <c r="F20" s="364"/>
      <c r="G20" s="369"/>
      <c r="H20" s="370"/>
      <c r="I20" s="371"/>
      <c r="J20" s="371"/>
    </row>
    <row r="21" spans="1:10">
      <c r="A21" s="365"/>
      <c r="B21" s="365"/>
      <c r="C21" s="365"/>
      <c r="D21" s="373"/>
      <c r="E21" s="359"/>
      <c r="F21" s="359"/>
      <c r="G21" s="365"/>
      <c r="H21" s="4"/>
      <c r="I21" s="4"/>
    </row>
    <row r="22" spans="1:10">
      <c r="G22" s="4"/>
      <c r="H22" s="4"/>
      <c r="I22" s="4"/>
    </row>
    <row r="23" spans="1:10">
      <c r="E23" s="2"/>
      <c r="F23" s="2"/>
    </row>
  </sheetData>
  <mergeCells count="18">
    <mergeCell ref="A1:B1"/>
    <mergeCell ref="A2:G2"/>
    <mergeCell ref="A4:G4"/>
    <mergeCell ref="A5:A6"/>
    <mergeCell ref="B5:B6"/>
    <mergeCell ref="C5:C6"/>
    <mergeCell ref="D5:D6"/>
    <mergeCell ref="E5:F5"/>
    <mergeCell ref="G5:G6"/>
    <mergeCell ref="A14:C14"/>
    <mergeCell ref="A8:C8"/>
    <mergeCell ref="A10:G10"/>
    <mergeCell ref="A11:A12"/>
    <mergeCell ref="B11:B12"/>
    <mergeCell ref="C11:C12"/>
    <mergeCell ref="D11:D12"/>
    <mergeCell ref="E11:F11"/>
    <mergeCell ref="G11:G12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85" orientation="landscape" r:id="rId1"/>
  <headerFooter alignWithMargins="0">
    <oddFooter>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5"/>
  <sheetViews>
    <sheetView view="pageBreakPreview" zoomScaleSheetLayoutView="100" workbookViewId="0">
      <selection activeCell="J7" sqref="J7"/>
    </sheetView>
  </sheetViews>
  <sheetFormatPr defaultRowHeight="12.75"/>
  <cols>
    <col min="1" max="6" width="12.7109375" style="1" customWidth="1"/>
    <col min="7" max="7" width="60.7109375" style="1" customWidth="1"/>
    <col min="8" max="8" width="19.7109375" style="1" customWidth="1"/>
    <col min="9" max="10" width="11.140625" style="1" bestFit="1" customWidth="1"/>
    <col min="11" max="256" width="9.140625" style="1"/>
    <col min="257" max="257" width="7.7109375" style="1" customWidth="1"/>
    <col min="258" max="258" width="10.5703125" style="1" customWidth="1"/>
    <col min="259" max="259" width="11.140625" style="1" bestFit="1" customWidth="1"/>
    <col min="260" max="260" width="22.140625" style="1" bestFit="1" customWidth="1"/>
    <col min="261" max="261" width="12.28515625" style="1" customWidth="1"/>
    <col min="262" max="262" width="12.5703125" style="1" customWidth="1"/>
    <col min="263" max="263" width="12.140625" style="1" customWidth="1"/>
    <col min="264" max="264" width="19.7109375" style="1" customWidth="1"/>
    <col min="265" max="512" width="9.140625" style="1"/>
    <col min="513" max="513" width="7.7109375" style="1" customWidth="1"/>
    <col min="514" max="514" width="10.5703125" style="1" customWidth="1"/>
    <col min="515" max="515" width="11.140625" style="1" bestFit="1" customWidth="1"/>
    <col min="516" max="516" width="22.140625" style="1" bestFit="1" customWidth="1"/>
    <col min="517" max="517" width="12.28515625" style="1" customWidth="1"/>
    <col min="518" max="518" width="12.5703125" style="1" customWidth="1"/>
    <col min="519" max="519" width="12.140625" style="1" customWidth="1"/>
    <col min="520" max="520" width="19.7109375" style="1" customWidth="1"/>
    <col min="521" max="768" width="9.140625" style="1"/>
    <col min="769" max="769" width="7.7109375" style="1" customWidth="1"/>
    <col min="770" max="770" width="10.5703125" style="1" customWidth="1"/>
    <col min="771" max="771" width="11.140625" style="1" bestFit="1" customWidth="1"/>
    <col min="772" max="772" width="22.140625" style="1" bestFit="1" customWidth="1"/>
    <col min="773" max="773" width="12.28515625" style="1" customWidth="1"/>
    <col min="774" max="774" width="12.5703125" style="1" customWidth="1"/>
    <col min="775" max="775" width="12.140625" style="1" customWidth="1"/>
    <col min="776" max="776" width="19.7109375" style="1" customWidth="1"/>
    <col min="777" max="1024" width="9.140625" style="1"/>
    <col min="1025" max="1025" width="7.7109375" style="1" customWidth="1"/>
    <col min="1026" max="1026" width="10.5703125" style="1" customWidth="1"/>
    <col min="1027" max="1027" width="11.140625" style="1" bestFit="1" customWidth="1"/>
    <col min="1028" max="1028" width="22.140625" style="1" bestFit="1" customWidth="1"/>
    <col min="1029" max="1029" width="12.28515625" style="1" customWidth="1"/>
    <col min="1030" max="1030" width="12.5703125" style="1" customWidth="1"/>
    <col min="1031" max="1031" width="12.140625" style="1" customWidth="1"/>
    <col min="1032" max="1032" width="19.7109375" style="1" customWidth="1"/>
    <col min="1033" max="1280" width="9.140625" style="1"/>
    <col min="1281" max="1281" width="7.7109375" style="1" customWidth="1"/>
    <col min="1282" max="1282" width="10.5703125" style="1" customWidth="1"/>
    <col min="1283" max="1283" width="11.140625" style="1" bestFit="1" customWidth="1"/>
    <col min="1284" max="1284" width="22.140625" style="1" bestFit="1" customWidth="1"/>
    <col min="1285" max="1285" width="12.28515625" style="1" customWidth="1"/>
    <col min="1286" max="1286" width="12.5703125" style="1" customWidth="1"/>
    <col min="1287" max="1287" width="12.140625" style="1" customWidth="1"/>
    <col min="1288" max="1288" width="19.7109375" style="1" customWidth="1"/>
    <col min="1289" max="1536" width="9.140625" style="1"/>
    <col min="1537" max="1537" width="7.7109375" style="1" customWidth="1"/>
    <col min="1538" max="1538" width="10.5703125" style="1" customWidth="1"/>
    <col min="1539" max="1539" width="11.140625" style="1" bestFit="1" customWidth="1"/>
    <col min="1540" max="1540" width="22.140625" style="1" bestFit="1" customWidth="1"/>
    <col min="1541" max="1541" width="12.28515625" style="1" customWidth="1"/>
    <col min="1542" max="1542" width="12.5703125" style="1" customWidth="1"/>
    <col min="1543" max="1543" width="12.140625" style="1" customWidth="1"/>
    <col min="1544" max="1544" width="19.7109375" style="1" customWidth="1"/>
    <col min="1545" max="1792" width="9.140625" style="1"/>
    <col min="1793" max="1793" width="7.7109375" style="1" customWidth="1"/>
    <col min="1794" max="1794" width="10.5703125" style="1" customWidth="1"/>
    <col min="1795" max="1795" width="11.140625" style="1" bestFit="1" customWidth="1"/>
    <col min="1796" max="1796" width="22.140625" style="1" bestFit="1" customWidth="1"/>
    <col min="1797" max="1797" width="12.28515625" style="1" customWidth="1"/>
    <col min="1798" max="1798" width="12.5703125" style="1" customWidth="1"/>
    <col min="1799" max="1799" width="12.140625" style="1" customWidth="1"/>
    <col min="1800" max="1800" width="19.7109375" style="1" customWidth="1"/>
    <col min="1801" max="2048" width="9.140625" style="1"/>
    <col min="2049" max="2049" width="7.7109375" style="1" customWidth="1"/>
    <col min="2050" max="2050" width="10.5703125" style="1" customWidth="1"/>
    <col min="2051" max="2051" width="11.140625" style="1" bestFit="1" customWidth="1"/>
    <col min="2052" max="2052" width="22.140625" style="1" bestFit="1" customWidth="1"/>
    <col min="2053" max="2053" width="12.28515625" style="1" customWidth="1"/>
    <col min="2054" max="2054" width="12.5703125" style="1" customWidth="1"/>
    <col min="2055" max="2055" width="12.140625" style="1" customWidth="1"/>
    <col min="2056" max="2056" width="19.7109375" style="1" customWidth="1"/>
    <col min="2057" max="2304" width="9.140625" style="1"/>
    <col min="2305" max="2305" width="7.7109375" style="1" customWidth="1"/>
    <col min="2306" max="2306" width="10.5703125" style="1" customWidth="1"/>
    <col min="2307" max="2307" width="11.140625" style="1" bestFit="1" customWidth="1"/>
    <col min="2308" max="2308" width="22.140625" style="1" bestFit="1" customWidth="1"/>
    <col min="2309" max="2309" width="12.28515625" style="1" customWidth="1"/>
    <col min="2310" max="2310" width="12.5703125" style="1" customWidth="1"/>
    <col min="2311" max="2311" width="12.140625" style="1" customWidth="1"/>
    <col min="2312" max="2312" width="19.7109375" style="1" customWidth="1"/>
    <col min="2313" max="2560" width="9.140625" style="1"/>
    <col min="2561" max="2561" width="7.7109375" style="1" customWidth="1"/>
    <col min="2562" max="2562" width="10.5703125" style="1" customWidth="1"/>
    <col min="2563" max="2563" width="11.140625" style="1" bestFit="1" customWidth="1"/>
    <col min="2564" max="2564" width="22.140625" style="1" bestFit="1" customWidth="1"/>
    <col min="2565" max="2565" width="12.28515625" style="1" customWidth="1"/>
    <col min="2566" max="2566" width="12.5703125" style="1" customWidth="1"/>
    <col min="2567" max="2567" width="12.140625" style="1" customWidth="1"/>
    <col min="2568" max="2568" width="19.7109375" style="1" customWidth="1"/>
    <col min="2569" max="2816" width="9.140625" style="1"/>
    <col min="2817" max="2817" width="7.7109375" style="1" customWidth="1"/>
    <col min="2818" max="2818" width="10.5703125" style="1" customWidth="1"/>
    <col min="2819" max="2819" width="11.140625" style="1" bestFit="1" customWidth="1"/>
    <col min="2820" max="2820" width="22.140625" style="1" bestFit="1" customWidth="1"/>
    <col min="2821" max="2821" width="12.28515625" style="1" customWidth="1"/>
    <col min="2822" max="2822" width="12.5703125" style="1" customWidth="1"/>
    <col min="2823" max="2823" width="12.140625" style="1" customWidth="1"/>
    <col min="2824" max="2824" width="19.7109375" style="1" customWidth="1"/>
    <col min="2825" max="3072" width="9.140625" style="1"/>
    <col min="3073" max="3073" width="7.7109375" style="1" customWidth="1"/>
    <col min="3074" max="3074" width="10.5703125" style="1" customWidth="1"/>
    <col min="3075" max="3075" width="11.140625" style="1" bestFit="1" customWidth="1"/>
    <col min="3076" max="3076" width="22.140625" style="1" bestFit="1" customWidth="1"/>
    <col min="3077" max="3077" width="12.28515625" style="1" customWidth="1"/>
    <col min="3078" max="3078" width="12.5703125" style="1" customWidth="1"/>
    <col min="3079" max="3079" width="12.140625" style="1" customWidth="1"/>
    <col min="3080" max="3080" width="19.7109375" style="1" customWidth="1"/>
    <col min="3081" max="3328" width="9.140625" style="1"/>
    <col min="3329" max="3329" width="7.7109375" style="1" customWidth="1"/>
    <col min="3330" max="3330" width="10.5703125" style="1" customWidth="1"/>
    <col min="3331" max="3331" width="11.140625" style="1" bestFit="1" customWidth="1"/>
    <col min="3332" max="3332" width="22.140625" style="1" bestFit="1" customWidth="1"/>
    <col min="3333" max="3333" width="12.28515625" style="1" customWidth="1"/>
    <col min="3334" max="3334" width="12.5703125" style="1" customWidth="1"/>
    <col min="3335" max="3335" width="12.140625" style="1" customWidth="1"/>
    <col min="3336" max="3336" width="19.7109375" style="1" customWidth="1"/>
    <col min="3337" max="3584" width="9.140625" style="1"/>
    <col min="3585" max="3585" width="7.7109375" style="1" customWidth="1"/>
    <col min="3586" max="3586" width="10.5703125" style="1" customWidth="1"/>
    <col min="3587" max="3587" width="11.140625" style="1" bestFit="1" customWidth="1"/>
    <col min="3588" max="3588" width="22.140625" style="1" bestFit="1" customWidth="1"/>
    <col min="3589" max="3589" width="12.28515625" style="1" customWidth="1"/>
    <col min="3590" max="3590" width="12.5703125" style="1" customWidth="1"/>
    <col min="3591" max="3591" width="12.140625" style="1" customWidth="1"/>
    <col min="3592" max="3592" width="19.7109375" style="1" customWidth="1"/>
    <col min="3593" max="3840" width="9.140625" style="1"/>
    <col min="3841" max="3841" width="7.7109375" style="1" customWidth="1"/>
    <col min="3842" max="3842" width="10.5703125" style="1" customWidth="1"/>
    <col min="3843" max="3843" width="11.140625" style="1" bestFit="1" customWidth="1"/>
    <col min="3844" max="3844" width="22.140625" style="1" bestFit="1" customWidth="1"/>
    <col min="3845" max="3845" width="12.28515625" style="1" customWidth="1"/>
    <col min="3846" max="3846" width="12.5703125" style="1" customWidth="1"/>
    <col min="3847" max="3847" width="12.140625" style="1" customWidth="1"/>
    <col min="3848" max="3848" width="19.7109375" style="1" customWidth="1"/>
    <col min="3849" max="4096" width="9.140625" style="1"/>
    <col min="4097" max="4097" width="7.7109375" style="1" customWidth="1"/>
    <col min="4098" max="4098" width="10.5703125" style="1" customWidth="1"/>
    <col min="4099" max="4099" width="11.140625" style="1" bestFit="1" customWidth="1"/>
    <col min="4100" max="4100" width="22.140625" style="1" bestFit="1" customWidth="1"/>
    <col min="4101" max="4101" width="12.28515625" style="1" customWidth="1"/>
    <col min="4102" max="4102" width="12.5703125" style="1" customWidth="1"/>
    <col min="4103" max="4103" width="12.140625" style="1" customWidth="1"/>
    <col min="4104" max="4104" width="19.7109375" style="1" customWidth="1"/>
    <col min="4105" max="4352" width="9.140625" style="1"/>
    <col min="4353" max="4353" width="7.7109375" style="1" customWidth="1"/>
    <col min="4354" max="4354" width="10.5703125" style="1" customWidth="1"/>
    <col min="4355" max="4355" width="11.140625" style="1" bestFit="1" customWidth="1"/>
    <col min="4356" max="4356" width="22.140625" style="1" bestFit="1" customWidth="1"/>
    <col min="4357" max="4357" width="12.28515625" style="1" customWidth="1"/>
    <col min="4358" max="4358" width="12.5703125" style="1" customWidth="1"/>
    <col min="4359" max="4359" width="12.140625" style="1" customWidth="1"/>
    <col min="4360" max="4360" width="19.7109375" style="1" customWidth="1"/>
    <col min="4361" max="4608" width="9.140625" style="1"/>
    <col min="4609" max="4609" width="7.7109375" style="1" customWidth="1"/>
    <col min="4610" max="4610" width="10.5703125" style="1" customWidth="1"/>
    <col min="4611" max="4611" width="11.140625" style="1" bestFit="1" customWidth="1"/>
    <col min="4612" max="4612" width="22.140625" style="1" bestFit="1" customWidth="1"/>
    <col min="4613" max="4613" width="12.28515625" style="1" customWidth="1"/>
    <col min="4614" max="4614" width="12.5703125" style="1" customWidth="1"/>
    <col min="4615" max="4615" width="12.140625" style="1" customWidth="1"/>
    <col min="4616" max="4616" width="19.7109375" style="1" customWidth="1"/>
    <col min="4617" max="4864" width="9.140625" style="1"/>
    <col min="4865" max="4865" width="7.7109375" style="1" customWidth="1"/>
    <col min="4866" max="4866" width="10.5703125" style="1" customWidth="1"/>
    <col min="4867" max="4867" width="11.140625" style="1" bestFit="1" customWidth="1"/>
    <col min="4868" max="4868" width="22.140625" style="1" bestFit="1" customWidth="1"/>
    <col min="4869" max="4869" width="12.28515625" style="1" customWidth="1"/>
    <col min="4870" max="4870" width="12.5703125" style="1" customWidth="1"/>
    <col min="4871" max="4871" width="12.140625" style="1" customWidth="1"/>
    <col min="4872" max="4872" width="19.7109375" style="1" customWidth="1"/>
    <col min="4873" max="5120" width="9.140625" style="1"/>
    <col min="5121" max="5121" width="7.7109375" style="1" customWidth="1"/>
    <col min="5122" max="5122" width="10.5703125" style="1" customWidth="1"/>
    <col min="5123" max="5123" width="11.140625" style="1" bestFit="1" customWidth="1"/>
    <col min="5124" max="5124" width="22.140625" style="1" bestFit="1" customWidth="1"/>
    <col min="5125" max="5125" width="12.28515625" style="1" customWidth="1"/>
    <col min="5126" max="5126" width="12.5703125" style="1" customWidth="1"/>
    <col min="5127" max="5127" width="12.140625" style="1" customWidth="1"/>
    <col min="5128" max="5128" width="19.7109375" style="1" customWidth="1"/>
    <col min="5129" max="5376" width="9.140625" style="1"/>
    <col min="5377" max="5377" width="7.7109375" style="1" customWidth="1"/>
    <col min="5378" max="5378" width="10.5703125" style="1" customWidth="1"/>
    <col min="5379" max="5379" width="11.140625" style="1" bestFit="1" customWidth="1"/>
    <col min="5380" max="5380" width="22.140625" style="1" bestFit="1" customWidth="1"/>
    <col min="5381" max="5381" width="12.28515625" style="1" customWidth="1"/>
    <col min="5382" max="5382" width="12.5703125" style="1" customWidth="1"/>
    <col min="5383" max="5383" width="12.140625" style="1" customWidth="1"/>
    <col min="5384" max="5384" width="19.7109375" style="1" customWidth="1"/>
    <col min="5385" max="5632" width="9.140625" style="1"/>
    <col min="5633" max="5633" width="7.7109375" style="1" customWidth="1"/>
    <col min="5634" max="5634" width="10.5703125" style="1" customWidth="1"/>
    <col min="5635" max="5635" width="11.140625" style="1" bestFit="1" customWidth="1"/>
    <col min="5636" max="5636" width="22.140625" style="1" bestFit="1" customWidth="1"/>
    <col min="5637" max="5637" width="12.28515625" style="1" customWidth="1"/>
    <col min="5638" max="5638" width="12.5703125" style="1" customWidth="1"/>
    <col min="5639" max="5639" width="12.140625" style="1" customWidth="1"/>
    <col min="5640" max="5640" width="19.7109375" style="1" customWidth="1"/>
    <col min="5641" max="5888" width="9.140625" style="1"/>
    <col min="5889" max="5889" width="7.7109375" style="1" customWidth="1"/>
    <col min="5890" max="5890" width="10.5703125" style="1" customWidth="1"/>
    <col min="5891" max="5891" width="11.140625" style="1" bestFit="1" customWidth="1"/>
    <col min="5892" max="5892" width="22.140625" style="1" bestFit="1" customWidth="1"/>
    <col min="5893" max="5893" width="12.28515625" style="1" customWidth="1"/>
    <col min="5894" max="5894" width="12.5703125" style="1" customWidth="1"/>
    <col min="5895" max="5895" width="12.140625" style="1" customWidth="1"/>
    <col min="5896" max="5896" width="19.7109375" style="1" customWidth="1"/>
    <col min="5897" max="6144" width="9.140625" style="1"/>
    <col min="6145" max="6145" width="7.7109375" style="1" customWidth="1"/>
    <col min="6146" max="6146" width="10.5703125" style="1" customWidth="1"/>
    <col min="6147" max="6147" width="11.140625" style="1" bestFit="1" customWidth="1"/>
    <col min="6148" max="6148" width="22.140625" style="1" bestFit="1" customWidth="1"/>
    <col min="6149" max="6149" width="12.28515625" style="1" customWidth="1"/>
    <col min="6150" max="6150" width="12.5703125" style="1" customWidth="1"/>
    <col min="6151" max="6151" width="12.140625" style="1" customWidth="1"/>
    <col min="6152" max="6152" width="19.7109375" style="1" customWidth="1"/>
    <col min="6153" max="6400" width="9.140625" style="1"/>
    <col min="6401" max="6401" width="7.7109375" style="1" customWidth="1"/>
    <col min="6402" max="6402" width="10.5703125" style="1" customWidth="1"/>
    <col min="6403" max="6403" width="11.140625" style="1" bestFit="1" customWidth="1"/>
    <col min="6404" max="6404" width="22.140625" style="1" bestFit="1" customWidth="1"/>
    <col min="6405" max="6405" width="12.28515625" style="1" customWidth="1"/>
    <col min="6406" max="6406" width="12.5703125" style="1" customWidth="1"/>
    <col min="6407" max="6407" width="12.140625" style="1" customWidth="1"/>
    <col min="6408" max="6408" width="19.7109375" style="1" customWidth="1"/>
    <col min="6409" max="6656" width="9.140625" style="1"/>
    <col min="6657" max="6657" width="7.7109375" style="1" customWidth="1"/>
    <col min="6658" max="6658" width="10.5703125" style="1" customWidth="1"/>
    <col min="6659" max="6659" width="11.140625" style="1" bestFit="1" customWidth="1"/>
    <col min="6660" max="6660" width="22.140625" style="1" bestFit="1" customWidth="1"/>
    <col min="6661" max="6661" width="12.28515625" style="1" customWidth="1"/>
    <col min="6662" max="6662" width="12.5703125" style="1" customWidth="1"/>
    <col min="6663" max="6663" width="12.140625" style="1" customWidth="1"/>
    <col min="6664" max="6664" width="19.7109375" style="1" customWidth="1"/>
    <col min="6665" max="6912" width="9.140625" style="1"/>
    <col min="6913" max="6913" width="7.7109375" style="1" customWidth="1"/>
    <col min="6914" max="6914" width="10.5703125" style="1" customWidth="1"/>
    <col min="6915" max="6915" width="11.140625" style="1" bestFit="1" customWidth="1"/>
    <col min="6916" max="6916" width="22.140625" style="1" bestFit="1" customWidth="1"/>
    <col min="6917" max="6917" width="12.28515625" style="1" customWidth="1"/>
    <col min="6918" max="6918" width="12.5703125" style="1" customWidth="1"/>
    <col min="6919" max="6919" width="12.140625" style="1" customWidth="1"/>
    <col min="6920" max="6920" width="19.7109375" style="1" customWidth="1"/>
    <col min="6921" max="7168" width="9.140625" style="1"/>
    <col min="7169" max="7169" width="7.7109375" style="1" customWidth="1"/>
    <col min="7170" max="7170" width="10.5703125" style="1" customWidth="1"/>
    <col min="7171" max="7171" width="11.140625" style="1" bestFit="1" customWidth="1"/>
    <col min="7172" max="7172" width="22.140625" style="1" bestFit="1" customWidth="1"/>
    <col min="7173" max="7173" width="12.28515625" style="1" customWidth="1"/>
    <col min="7174" max="7174" width="12.5703125" style="1" customWidth="1"/>
    <col min="7175" max="7175" width="12.140625" style="1" customWidth="1"/>
    <col min="7176" max="7176" width="19.7109375" style="1" customWidth="1"/>
    <col min="7177" max="7424" width="9.140625" style="1"/>
    <col min="7425" max="7425" width="7.7109375" style="1" customWidth="1"/>
    <col min="7426" max="7426" width="10.5703125" style="1" customWidth="1"/>
    <col min="7427" max="7427" width="11.140625" style="1" bestFit="1" customWidth="1"/>
    <col min="7428" max="7428" width="22.140625" style="1" bestFit="1" customWidth="1"/>
    <col min="7429" max="7429" width="12.28515625" style="1" customWidth="1"/>
    <col min="7430" max="7430" width="12.5703125" style="1" customWidth="1"/>
    <col min="7431" max="7431" width="12.140625" style="1" customWidth="1"/>
    <col min="7432" max="7432" width="19.7109375" style="1" customWidth="1"/>
    <col min="7433" max="7680" width="9.140625" style="1"/>
    <col min="7681" max="7681" width="7.7109375" style="1" customWidth="1"/>
    <col min="7682" max="7682" width="10.5703125" style="1" customWidth="1"/>
    <col min="7683" max="7683" width="11.140625" style="1" bestFit="1" customWidth="1"/>
    <col min="7684" max="7684" width="22.140625" style="1" bestFit="1" customWidth="1"/>
    <col min="7685" max="7685" width="12.28515625" style="1" customWidth="1"/>
    <col min="7686" max="7686" width="12.5703125" style="1" customWidth="1"/>
    <col min="7687" max="7687" width="12.140625" style="1" customWidth="1"/>
    <col min="7688" max="7688" width="19.7109375" style="1" customWidth="1"/>
    <col min="7689" max="7936" width="9.140625" style="1"/>
    <col min="7937" max="7937" width="7.7109375" style="1" customWidth="1"/>
    <col min="7938" max="7938" width="10.5703125" style="1" customWidth="1"/>
    <col min="7939" max="7939" width="11.140625" style="1" bestFit="1" customWidth="1"/>
    <col min="7940" max="7940" width="22.140625" style="1" bestFit="1" customWidth="1"/>
    <col min="7941" max="7941" width="12.28515625" style="1" customWidth="1"/>
    <col min="7942" max="7942" width="12.5703125" style="1" customWidth="1"/>
    <col min="7943" max="7943" width="12.140625" style="1" customWidth="1"/>
    <col min="7944" max="7944" width="19.7109375" style="1" customWidth="1"/>
    <col min="7945" max="8192" width="9.140625" style="1"/>
    <col min="8193" max="8193" width="7.7109375" style="1" customWidth="1"/>
    <col min="8194" max="8194" width="10.5703125" style="1" customWidth="1"/>
    <col min="8195" max="8195" width="11.140625" style="1" bestFit="1" customWidth="1"/>
    <col min="8196" max="8196" width="22.140625" style="1" bestFit="1" customWidth="1"/>
    <col min="8197" max="8197" width="12.28515625" style="1" customWidth="1"/>
    <col min="8198" max="8198" width="12.5703125" style="1" customWidth="1"/>
    <col min="8199" max="8199" width="12.140625" style="1" customWidth="1"/>
    <col min="8200" max="8200" width="19.7109375" style="1" customWidth="1"/>
    <col min="8201" max="8448" width="9.140625" style="1"/>
    <col min="8449" max="8449" width="7.7109375" style="1" customWidth="1"/>
    <col min="8450" max="8450" width="10.5703125" style="1" customWidth="1"/>
    <col min="8451" max="8451" width="11.140625" style="1" bestFit="1" customWidth="1"/>
    <col min="8452" max="8452" width="22.140625" style="1" bestFit="1" customWidth="1"/>
    <col min="8453" max="8453" width="12.28515625" style="1" customWidth="1"/>
    <col min="8454" max="8454" width="12.5703125" style="1" customWidth="1"/>
    <col min="8455" max="8455" width="12.140625" style="1" customWidth="1"/>
    <col min="8456" max="8456" width="19.7109375" style="1" customWidth="1"/>
    <col min="8457" max="8704" width="9.140625" style="1"/>
    <col min="8705" max="8705" width="7.7109375" style="1" customWidth="1"/>
    <col min="8706" max="8706" width="10.5703125" style="1" customWidth="1"/>
    <col min="8707" max="8707" width="11.140625" style="1" bestFit="1" customWidth="1"/>
    <col min="8708" max="8708" width="22.140625" style="1" bestFit="1" customWidth="1"/>
    <col min="8709" max="8709" width="12.28515625" style="1" customWidth="1"/>
    <col min="8710" max="8710" width="12.5703125" style="1" customWidth="1"/>
    <col min="8711" max="8711" width="12.140625" style="1" customWidth="1"/>
    <col min="8712" max="8712" width="19.7109375" style="1" customWidth="1"/>
    <col min="8713" max="8960" width="9.140625" style="1"/>
    <col min="8961" max="8961" width="7.7109375" style="1" customWidth="1"/>
    <col min="8962" max="8962" width="10.5703125" style="1" customWidth="1"/>
    <col min="8963" max="8963" width="11.140625" style="1" bestFit="1" customWidth="1"/>
    <col min="8964" max="8964" width="22.140625" style="1" bestFit="1" customWidth="1"/>
    <col min="8965" max="8965" width="12.28515625" style="1" customWidth="1"/>
    <col min="8966" max="8966" width="12.5703125" style="1" customWidth="1"/>
    <col min="8967" max="8967" width="12.140625" style="1" customWidth="1"/>
    <col min="8968" max="8968" width="19.7109375" style="1" customWidth="1"/>
    <col min="8969" max="9216" width="9.140625" style="1"/>
    <col min="9217" max="9217" width="7.7109375" style="1" customWidth="1"/>
    <col min="9218" max="9218" width="10.5703125" style="1" customWidth="1"/>
    <col min="9219" max="9219" width="11.140625" style="1" bestFit="1" customWidth="1"/>
    <col min="9220" max="9220" width="22.140625" style="1" bestFit="1" customWidth="1"/>
    <col min="9221" max="9221" width="12.28515625" style="1" customWidth="1"/>
    <col min="9222" max="9222" width="12.5703125" style="1" customWidth="1"/>
    <col min="9223" max="9223" width="12.140625" style="1" customWidth="1"/>
    <col min="9224" max="9224" width="19.7109375" style="1" customWidth="1"/>
    <col min="9225" max="9472" width="9.140625" style="1"/>
    <col min="9473" max="9473" width="7.7109375" style="1" customWidth="1"/>
    <col min="9474" max="9474" width="10.5703125" style="1" customWidth="1"/>
    <col min="9475" max="9475" width="11.140625" style="1" bestFit="1" customWidth="1"/>
    <col min="9476" max="9476" width="22.140625" style="1" bestFit="1" customWidth="1"/>
    <col min="9477" max="9477" width="12.28515625" style="1" customWidth="1"/>
    <col min="9478" max="9478" width="12.5703125" style="1" customWidth="1"/>
    <col min="9479" max="9479" width="12.140625" style="1" customWidth="1"/>
    <col min="9480" max="9480" width="19.7109375" style="1" customWidth="1"/>
    <col min="9481" max="9728" width="9.140625" style="1"/>
    <col min="9729" max="9729" width="7.7109375" style="1" customWidth="1"/>
    <col min="9730" max="9730" width="10.5703125" style="1" customWidth="1"/>
    <col min="9731" max="9731" width="11.140625" style="1" bestFit="1" customWidth="1"/>
    <col min="9732" max="9732" width="22.140625" style="1" bestFit="1" customWidth="1"/>
    <col min="9733" max="9733" width="12.28515625" style="1" customWidth="1"/>
    <col min="9734" max="9734" width="12.5703125" style="1" customWidth="1"/>
    <col min="9735" max="9735" width="12.140625" style="1" customWidth="1"/>
    <col min="9736" max="9736" width="19.7109375" style="1" customWidth="1"/>
    <col min="9737" max="9984" width="9.140625" style="1"/>
    <col min="9985" max="9985" width="7.7109375" style="1" customWidth="1"/>
    <col min="9986" max="9986" width="10.5703125" style="1" customWidth="1"/>
    <col min="9987" max="9987" width="11.140625" style="1" bestFit="1" customWidth="1"/>
    <col min="9988" max="9988" width="22.140625" style="1" bestFit="1" customWidth="1"/>
    <col min="9989" max="9989" width="12.28515625" style="1" customWidth="1"/>
    <col min="9990" max="9990" width="12.5703125" style="1" customWidth="1"/>
    <col min="9991" max="9991" width="12.140625" style="1" customWidth="1"/>
    <col min="9992" max="9992" width="19.7109375" style="1" customWidth="1"/>
    <col min="9993" max="10240" width="9.140625" style="1"/>
    <col min="10241" max="10241" width="7.7109375" style="1" customWidth="1"/>
    <col min="10242" max="10242" width="10.5703125" style="1" customWidth="1"/>
    <col min="10243" max="10243" width="11.140625" style="1" bestFit="1" customWidth="1"/>
    <col min="10244" max="10244" width="22.140625" style="1" bestFit="1" customWidth="1"/>
    <col min="10245" max="10245" width="12.28515625" style="1" customWidth="1"/>
    <col min="10246" max="10246" width="12.5703125" style="1" customWidth="1"/>
    <col min="10247" max="10247" width="12.140625" style="1" customWidth="1"/>
    <col min="10248" max="10248" width="19.7109375" style="1" customWidth="1"/>
    <col min="10249" max="10496" width="9.140625" style="1"/>
    <col min="10497" max="10497" width="7.7109375" style="1" customWidth="1"/>
    <col min="10498" max="10498" width="10.5703125" style="1" customWidth="1"/>
    <col min="10499" max="10499" width="11.140625" style="1" bestFit="1" customWidth="1"/>
    <col min="10500" max="10500" width="22.140625" style="1" bestFit="1" customWidth="1"/>
    <col min="10501" max="10501" width="12.28515625" style="1" customWidth="1"/>
    <col min="10502" max="10502" width="12.5703125" style="1" customWidth="1"/>
    <col min="10503" max="10503" width="12.140625" style="1" customWidth="1"/>
    <col min="10504" max="10504" width="19.7109375" style="1" customWidth="1"/>
    <col min="10505" max="10752" width="9.140625" style="1"/>
    <col min="10753" max="10753" width="7.7109375" style="1" customWidth="1"/>
    <col min="10754" max="10754" width="10.5703125" style="1" customWidth="1"/>
    <col min="10755" max="10755" width="11.140625" style="1" bestFit="1" customWidth="1"/>
    <col min="10756" max="10756" width="22.140625" style="1" bestFit="1" customWidth="1"/>
    <col min="10757" max="10757" width="12.28515625" style="1" customWidth="1"/>
    <col min="10758" max="10758" width="12.5703125" style="1" customWidth="1"/>
    <col min="10759" max="10759" width="12.140625" style="1" customWidth="1"/>
    <col min="10760" max="10760" width="19.7109375" style="1" customWidth="1"/>
    <col min="10761" max="11008" width="9.140625" style="1"/>
    <col min="11009" max="11009" width="7.7109375" style="1" customWidth="1"/>
    <col min="11010" max="11010" width="10.5703125" style="1" customWidth="1"/>
    <col min="11011" max="11011" width="11.140625" style="1" bestFit="1" customWidth="1"/>
    <col min="11012" max="11012" width="22.140625" style="1" bestFit="1" customWidth="1"/>
    <col min="11013" max="11013" width="12.28515625" style="1" customWidth="1"/>
    <col min="11014" max="11014" width="12.5703125" style="1" customWidth="1"/>
    <col min="11015" max="11015" width="12.140625" style="1" customWidth="1"/>
    <col min="11016" max="11016" width="19.7109375" style="1" customWidth="1"/>
    <col min="11017" max="11264" width="9.140625" style="1"/>
    <col min="11265" max="11265" width="7.7109375" style="1" customWidth="1"/>
    <col min="11266" max="11266" width="10.5703125" style="1" customWidth="1"/>
    <col min="11267" max="11267" width="11.140625" style="1" bestFit="1" customWidth="1"/>
    <col min="11268" max="11268" width="22.140625" style="1" bestFit="1" customWidth="1"/>
    <col min="11269" max="11269" width="12.28515625" style="1" customWidth="1"/>
    <col min="11270" max="11270" width="12.5703125" style="1" customWidth="1"/>
    <col min="11271" max="11271" width="12.140625" style="1" customWidth="1"/>
    <col min="11272" max="11272" width="19.7109375" style="1" customWidth="1"/>
    <col min="11273" max="11520" width="9.140625" style="1"/>
    <col min="11521" max="11521" width="7.7109375" style="1" customWidth="1"/>
    <col min="11522" max="11522" width="10.5703125" style="1" customWidth="1"/>
    <col min="11523" max="11523" width="11.140625" style="1" bestFit="1" customWidth="1"/>
    <col min="11524" max="11524" width="22.140625" style="1" bestFit="1" customWidth="1"/>
    <col min="11525" max="11525" width="12.28515625" style="1" customWidth="1"/>
    <col min="11526" max="11526" width="12.5703125" style="1" customWidth="1"/>
    <col min="11527" max="11527" width="12.140625" style="1" customWidth="1"/>
    <col min="11528" max="11528" width="19.7109375" style="1" customWidth="1"/>
    <col min="11529" max="11776" width="9.140625" style="1"/>
    <col min="11777" max="11777" width="7.7109375" style="1" customWidth="1"/>
    <col min="11778" max="11778" width="10.5703125" style="1" customWidth="1"/>
    <col min="11779" max="11779" width="11.140625" style="1" bestFit="1" customWidth="1"/>
    <col min="11780" max="11780" width="22.140625" style="1" bestFit="1" customWidth="1"/>
    <col min="11781" max="11781" width="12.28515625" style="1" customWidth="1"/>
    <col min="11782" max="11782" width="12.5703125" style="1" customWidth="1"/>
    <col min="11783" max="11783" width="12.140625" style="1" customWidth="1"/>
    <col min="11784" max="11784" width="19.7109375" style="1" customWidth="1"/>
    <col min="11785" max="12032" width="9.140625" style="1"/>
    <col min="12033" max="12033" width="7.7109375" style="1" customWidth="1"/>
    <col min="12034" max="12034" width="10.5703125" style="1" customWidth="1"/>
    <col min="12035" max="12035" width="11.140625" style="1" bestFit="1" customWidth="1"/>
    <col min="12036" max="12036" width="22.140625" style="1" bestFit="1" customWidth="1"/>
    <col min="12037" max="12037" width="12.28515625" style="1" customWidth="1"/>
    <col min="12038" max="12038" width="12.5703125" style="1" customWidth="1"/>
    <col min="12039" max="12039" width="12.140625" style="1" customWidth="1"/>
    <col min="12040" max="12040" width="19.7109375" style="1" customWidth="1"/>
    <col min="12041" max="12288" width="9.140625" style="1"/>
    <col min="12289" max="12289" width="7.7109375" style="1" customWidth="1"/>
    <col min="12290" max="12290" width="10.5703125" style="1" customWidth="1"/>
    <col min="12291" max="12291" width="11.140625" style="1" bestFit="1" customWidth="1"/>
    <col min="12292" max="12292" width="22.140625" style="1" bestFit="1" customWidth="1"/>
    <col min="12293" max="12293" width="12.28515625" style="1" customWidth="1"/>
    <col min="12294" max="12294" width="12.5703125" style="1" customWidth="1"/>
    <col min="12295" max="12295" width="12.140625" style="1" customWidth="1"/>
    <col min="12296" max="12296" width="19.7109375" style="1" customWidth="1"/>
    <col min="12297" max="12544" width="9.140625" style="1"/>
    <col min="12545" max="12545" width="7.7109375" style="1" customWidth="1"/>
    <col min="12546" max="12546" width="10.5703125" style="1" customWidth="1"/>
    <col min="12547" max="12547" width="11.140625" style="1" bestFit="1" customWidth="1"/>
    <col min="12548" max="12548" width="22.140625" style="1" bestFit="1" customWidth="1"/>
    <col min="12549" max="12549" width="12.28515625" style="1" customWidth="1"/>
    <col min="12550" max="12550" width="12.5703125" style="1" customWidth="1"/>
    <col min="12551" max="12551" width="12.140625" style="1" customWidth="1"/>
    <col min="12552" max="12552" width="19.7109375" style="1" customWidth="1"/>
    <col min="12553" max="12800" width="9.140625" style="1"/>
    <col min="12801" max="12801" width="7.7109375" style="1" customWidth="1"/>
    <col min="12802" max="12802" width="10.5703125" style="1" customWidth="1"/>
    <col min="12803" max="12803" width="11.140625" style="1" bestFit="1" customWidth="1"/>
    <col min="12804" max="12804" width="22.140625" style="1" bestFit="1" customWidth="1"/>
    <col min="12805" max="12805" width="12.28515625" style="1" customWidth="1"/>
    <col min="12806" max="12806" width="12.5703125" style="1" customWidth="1"/>
    <col min="12807" max="12807" width="12.140625" style="1" customWidth="1"/>
    <col min="12808" max="12808" width="19.7109375" style="1" customWidth="1"/>
    <col min="12809" max="13056" width="9.140625" style="1"/>
    <col min="13057" max="13057" width="7.7109375" style="1" customWidth="1"/>
    <col min="13058" max="13058" width="10.5703125" style="1" customWidth="1"/>
    <col min="13059" max="13059" width="11.140625" style="1" bestFit="1" customWidth="1"/>
    <col min="13060" max="13060" width="22.140625" style="1" bestFit="1" customWidth="1"/>
    <col min="13061" max="13061" width="12.28515625" style="1" customWidth="1"/>
    <col min="13062" max="13062" width="12.5703125" style="1" customWidth="1"/>
    <col min="13063" max="13063" width="12.140625" style="1" customWidth="1"/>
    <col min="13064" max="13064" width="19.7109375" style="1" customWidth="1"/>
    <col min="13065" max="13312" width="9.140625" style="1"/>
    <col min="13313" max="13313" width="7.7109375" style="1" customWidth="1"/>
    <col min="13314" max="13314" width="10.5703125" style="1" customWidth="1"/>
    <col min="13315" max="13315" width="11.140625" style="1" bestFit="1" customWidth="1"/>
    <col min="13316" max="13316" width="22.140625" style="1" bestFit="1" customWidth="1"/>
    <col min="13317" max="13317" width="12.28515625" style="1" customWidth="1"/>
    <col min="13318" max="13318" width="12.5703125" style="1" customWidth="1"/>
    <col min="13319" max="13319" width="12.140625" style="1" customWidth="1"/>
    <col min="13320" max="13320" width="19.7109375" style="1" customWidth="1"/>
    <col min="13321" max="13568" width="9.140625" style="1"/>
    <col min="13569" max="13569" width="7.7109375" style="1" customWidth="1"/>
    <col min="13570" max="13570" width="10.5703125" style="1" customWidth="1"/>
    <col min="13571" max="13571" width="11.140625" style="1" bestFit="1" customWidth="1"/>
    <col min="13572" max="13572" width="22.140625" style="1" bestFit="1" customWidth="1"/>
    <col min="13573" max="13573" width="12.28515625" style="1" customWidth="1"/>
    <col min="13574" max="13574" width="12.5703125" style="1" customWidth="1"/>
    <col min="13575" max="13575" width="12.140625" style="1" customWidth="1"/>
    <col min="13576" max="13576" width="19.7109375" style="1" customWidth="1"/>
    <col min="13577" max="13824" width="9.140625" style="1"/>
    <col min="13825" max="13825" width="7.7109375" style="1" customWidth="1"/>
    <col min="13826" max="13826" width="10.5703125" style="1" customWidth="1"/>
    <col min="13827" max="13827" width="11.140625" style="1" bestFit="1" customWidth="1"/>
    <col min="13828" max="13828" width="22.140625" style="1" bestFit="1" customWidth="1"/>
    <col min="13829" max="13829" width="12.28515625" style="1" customWidth="1"/>
    <col min="13830" max="13830" width="12.5703125" style="1" customWidth="1"/>
    <col min="13831" max="13831" width="12.140625" style="1" customWidth="1"/>
    <col min="13832" max="13832" width="19.7109375" style="1" customWidth="1"/>
    <col min="13833" max="14080" width="9.140625" style="1"/>
    <col min="14081" max="14081" width="7.7109375" style="1" customWidth="1"/>
    <col min="14082" max="14082" width="10.5703125" style="1" customWidth="1"/>
    <col min="14083" max="14083" width="11.140625" style="1" bestFit="1" customWidth="1"/>
    <col min="14084" max="14084" width="22.140625" style="1" bestFit="1" customWidth="1"/>
    <col min="14085" max="14085" width="12.28515625" style="1" customWidth="1"/>
    <col min="14086" max="14086" width="12.5703125" style="1" customWidth="1"/>
    <col min="14087" max="14087" width="12.140625" style="1" customWidth="1"/>
    <col min="14088" max="14088" width="19.7109375" style="1" customWidth="1"/>
    <col min="14089" max="14336" width="9.140625" style="1"/>
    <col min="14337" max="14337" width="7.7109375" style="1" customWidth="1"/>
    <col min="14338" max="14338" width="10.5703125" style="1" customWidth="1"/>
    <col min="14339" max="14339" width="11.140625" style="1" bestFit="1" customWidth="1"/>
    <col min="14340" max="14340" width="22.140625" style="1" bestFit="1" customWidth="1"/>
    <col min="14341" max="14341" width="12.28515625" style="1" customWidth="1"/>
    <col min="14342" max="14342" width="12.5703125" style="1" customWidth="1"/>
    <col min="14343" max="14343" width="12.140625" style="1" customWidth="1"/>
    <col min="14344" max="14344" width="19.7109375" style="1" customWidth="1"/>
    <col min="14345" max="14592" width="9.140625" style="1"/>
    <col min="14593" max="14593" width="7.7109375" style="1" customWidth="1"/>
    <col min="14594" max="14594" width="10.5703125" style="1" customWidth="1"/>
    <col min="14595" max="14595" width="11.140625" style="1" bestFit="1" customWidth="1"/>
    <col min="14596" max="14596" width="22.140625" style="1" bestFit="1" customWidth="1"/>
    <col min="14597" max="14597" width="12.28515625" style="1" customWidth="1"/>
    <col min="14598" max="14598" width="12.5703125" style="1" customWidth="1"/>
    <col min="14599" max="14599" width="12.140625" style="1" customWidth="1"/>
    <col min="14600" max="14600" width="19.7109375" style="1" customWidth="1"/>
    <col min="14601" max="14848" width="9.140625" style="1"/>
    <col min="14849" max="14849" width="7.7109375" style="1" customWidth="1"/>
    <col min="14850" max="14850" width="10.5703125" style="1" customWidth="1"/>
    <col min="14851" max="14851" width="11.140625" style="1" bestFit="1" customWidth="1"/>
    <col min="14852" max="14852" width="22.140625" style="1" bestFit="1" customWidth="1"/>
    <col min="14853" max="14853" width="12.28515625" style="1" customWidth="1"/>
    <col min="14854" max="14854" width="12.5703125" style="1" customWidth="1"/>
    <col min="14855" max="14855" width="12.140625" style="1" customWidth="1"/>
    <col min="14856" max="14856" width="19.7109375" style="1" customWidth="1"/>
    <col min="14857" max="15104" width="9.140625" style="1"/>
    <col min="15105" max="15105" width="7.7109375" style="1" customWidth="1"/>
    <col min="15106" max="15106" width="10.5703125" style="1" customWidth="1"/>
    <col min="15107" max="15107" width="11.140625" style="1" bestFit="1" customWidth="1"/>
    <col min="15108" max="15108" width="22.140625" style="1" bestFit="1" customWidth="1"/>
    <col min="15109" max="15109" width="12.28515625" style="1" customWidth="1"/>
    <col min="15110" max="15110" width="12.5703125" style="1" customWidth="1"/>
    <col min="15111" max="15111" width="12.140625" style="1" customWidth="1"/>
    <col min="15112" max="15112" width="19.7109375" style="1" customWidth="1"/>
    <col min="15113" max="15360" width="9.140625" style="1"/>
    <col min="15361" max="15361" width="7.7109375" style="1" customWidth="1"/>
    <col min="15362" max="15362" width="10.5703125" style="1" customWidth="1"/>
    <col min="15363" max="15363" width="11.140625" style="1" bestFit="1" customWidth="1"/>
    <col min="15364" max="15364" width="22.140625" style="1" bestFit="1" customWidth="1"/>
    <col min="15365" max="15365" width="12.28515625" style="1" customWidth="1"/>
    <col min="15366" max="15366" width="12.5703125" style="1" customWidth="1"/>
    <col min="15367" max="15367" width="12.140625" style="1" customWidth="1"/>
    <col min="15368" max="15368" width="19.7109375" style="1" customWidth="1"/>
    <col min="15369" max="15616" width="9.140625" style="1"/>
    <col min="15617" max="15617" width="7.7109375" style="1" customWidth="1"/>
    <col min="15618" max="15618" width="10.5703125" style="1" customWidth="1"/>
    <col min="15619" max="15619" width="11.140625" style="1" bestFit="1" customWidth="1"/>
    <col min="15620" max="15620" width="22.140625" style="1" bestFit="1" customWidth="1"/>
    <col min="15621" max="15621" width="12.28515625" style="1" customWidth="1"/>
    <col min="15622" max="15622" width="12.5703125" style="1" customWidth="1"/>
    <col min="15623" max="15623" width="12.140625" style="1" customWidth="1"/>
    <col min="15624" max="15624" width="19.7109375" style="1" customWidth="1"/>
    <col min="15625" max="15872" width="9.140625" style="1"/>
    <col min="15873" max="15873" width="7.7109375" style="1" customWidth="1"/>
    <col min="15874" max="15874" width="10.5703125" style="1" customWidth="1"/>
    <col min="15875" max="15875" width="11.140625" style="1" bestFit="1" customWidth="1"/>
    <col min="15876" max="15876" width="22.140625" style="1" bestFit="1" customWidth="1"/>
    <col min="15877" max="15877" width="12.28515625" style="1" customWidth="1"/>
    <col min="15878" max="15878" width="12.5703125" style="1" customWidth="1"/>
    <col min="15879" max="15879" width="12.140625" style="1" customWidth="1"/>
    <col min="15880" max="15880" width="19.7109375" style="1" customWidth="1"/>
    <col min="15881" max="16128" width="9.140625" style="1"/>
    <col min="16129" max="16129" width="7.7109375" style="1" customWidth="1"/>
    <col min="16130" max="16130" width="10.5703125" style="1" customWidth="1"/>
    <col min="16131" max="16131" width="11.140625" style="1" bestFit="1" customWidth="1"/>
    <col min="16132" max="16132" width="22.140625" style="1" bestFit="1" customWidth="1"/>
    <col min="16133" max="16133" width="12.28515625" style="1" customWidth="1"/>
    <col min="16134" max="16134" width="12.5703125" style="1" customWidth="1"/>
    <col min="16135" max="16135" width="12.140625" style="1" customWidth="1"/>
    <col min="16136" max="16136" width="19.7109375" style="1" customWidth="1"/>
    <col min="16137" max="16384" width="9.140625" style="1"/>
  </cols>
  <sheetData>
    <row r="1" spans="1:8" ht="48.75" customHeight="1">
      <c r="A1" s="193"/>
      <c r="B1" s="193"/>
      <c r="C1" s="193"/>
      <c r="D1" s="193"/>
      <c r="E1" s="193"/>
      <c r="F1" s="193"/>
      <c r="G1" s="339" t="s">
        <v>1062</v>
      </c>
    </row>
    <row r="2" spans="1:8" ht="40.5" customHeight="1">
      <c r="A2" s="1980" t="s">
        <v>282</v>
      </c>
      <c r="B2" s="1980"/>
      <c r="C2" s="1980"/>
      <c r="D2" s="1980"/>
      <c r="E2" s="1980"/>
      <c r="F2" s="1980"/>
      <c r="G2" s="1980"/>
    </row>
    <row r="3" spans="1:8" ht="13.5" customHeight="1">
      <c r="A3" s="184"/>
      <c r="B3" s="184"/>
      <c r="C3" s="184"/>
      <c r="D3" s="184"/>
      <c r="E3" s="184"/>
      <c r="F3" s="184"/>
      <c r="G3" s="5" t="s">
        <v>21</v>
      </c>
    </row>
    <row r="4" spans="1:8" s="374" customFormat="1" ht="20.100000000000001" customHeight="1" thickBot="1">
      <c r="A4" s="2098" t="s">
        <v>24</v>
      </c>
      <c r="B4" s="2098"/>
      <c r="C4" s="2098"/>
      <c r="D4" s="2098"/>
      <c r="E4" s="2098"/>
      <c r="F4" s="2098"/>
      <c r="G4" s="2098"/>
    </row>
    <row r="5" spans="1:8" ht="20.100000000000001" customHeight="1">
      <c r="A5" s="2120" t="s">
        <v>0</v>
      </c>
      <c r="B5" s="2122" t="s">
        <v>1</v>
      </c>
      <c r="C5" s="2122" t="s">
        <v>5</v>
      </c>
      <c r="D5" s="2103" t="s">
        <v>279</v>
      </c>
      <c r="E5" s="2101" t="s">
        <v>2</v>
      </c>
      <c r="F5" s="2101"/>
      <c r="G5" s="2124" t="s">
        <v>144</v>
      </c>
    </row>
    <row r="6" spans="1:8" ht="20.100000000000001" customHeight="1">
      <c r="A6" s="2121"/>
      <c r="B6" s="2123"/>
      <c r="C6" s="2123"/>
      <c r="D6" s="2104"/>
      <c r="E6" s="342" t="s">
        <v>20</v>
      </c>
      <c r="F6" s="342" t="s">
        <v>19</v>
      </c>
      <c r="G6" s="2125"/>
    </row>
    <row r="7" spans="1:8" s="379" customFormat="1" ht="18" customHeight="1">
      <c r="A7" s="2127">
        <v>150</v>
      </c>
      <c r="B7" s="2128">
        <v>15011</v>
      </c>
      <c r="C7" s="375">
        <v>6209</v>
      </c>
      <c r="D7" s="376">
        <f t="shared" ref="D7:D26" si="0">SUM(E7:F7)</f>
        <v>7272296</v>
      </c>
      <c r="E7" s="377">
        <v>0</v>
      </c>
      <c r="F7" s="377">
        <v>7272296</v>
      </c>
      <c r="G7" s="2129" t="s">
        <v>283</v>
      </c>
      <c r="H7" s="378"/>
    </row>
    <row r="8" spans="1:8" s="379" customFormat="1" ht="18" customHeight="1">
      <c r="A8" s="2127"/>
      <c r="B8" s="2128"/>
      <c r="C8" s="380">
        <v>2059</v>
      </c>
      <c r="D8" s="376">
        <f t="shared" si="0"/>
        <v>280797</v>
      </c>
      <c r="E8" s="377">
        <v>280797</v>
      </c>
      <c r="F8" s="377">
        <v>0</v>
      </c>
      <c r="G8" s="2129"/>
    </row>
    <row r="9" spans="1:8" s="379" customFormat="1" ht="18" customHeight="1">
      <c r="A9" s="2127"/>
      <c r="B9" s="2128"/>
      <c r="C9" s="380">
        <v>6259</v>
      </c>
      <c r="D9" s="376">
        <f t="shared" si="0"/>
        <v>2500000</v>
      </c>
      <c r="E9" s="377">
        <v>0</v>
      </c>
      <c r="F9" s="377">
        <v>2500000</v>
      </c>
      <c r="G9" s="2130"/>
    </row>
    <row r="10" spans="1:8" s="379" customFormat="1" ht="18" customHeight="1">
      <c r="A10" s="381">
        <v>710</v>
      </c>
      <c r="B10" s="375">
        <v>71012</v>
      </c>
      <c r="C10" s="380">
        <v>2057</v>
      </c>
      <c r="D10" s="376">
        <f t="shared" si="0"/>
        <v>49424508</v>
      </c>
      <c r="E10" s="377">
        <f>83236272-33811764</f>
        <v>49424508</v>
      </c>
      <c r="F10" s="377">
        <v>0</v>
      </c>
      <c r="G10" s="2131" t="s">
        <v>284</v>
      </c>
    </row>
    <row r="11" spans="1:8" s="379" customFormat="1" ht="18" customHeight="1">
      <c r="A11" s="381">
        <v>720</v>
      </c>
      <c r="B11" s="375">
        <v>72095</v>
      </c>
      <c r="C11" s="375">
        <v>6257</v>
      </c>
      <c r="D11" s="382">
        <f t="shared" si="0"/>
        <v>18313920</v>
      </c>
      <c r="E11" s="383">
        <v>0</v>
      </c>
      <c r="F11" s="383">
        <f>31191753-12877833</f>
        <v>18313920</v>
      </c>
      <c r="G11" s="2130"/>
    </row>
    <row r="12" spans="1:8" s="379" customFormat="1" ht="18" customHeight="1">
      <c r="A12" s="2132">
        <v>801</v>
      </c>
      <c r="B12" s="2134">
        <v>80146</v>
      </c>
      <c r="C12" s="384">
        <v>2057</v>
      </c>
      <c r="D12" s="382">
        <f t="shared" ref="D12:D17" si="1">SUM(E12:F12)</f>
        <v>241083</v>
      </c>
      <c r="E12" s="385">
        <v>241083</v>
      </c>
      <c r="F12" s="385">
        <v>0</v>
      </c>
      <c r="G12" s="2136" t="s">
        <v>285</v>
      </c>
    </row>
    <row r="13" spans="1:8" s="379" customFormat="1" ht="18" customHeight="1">
      <c r="A13" s="2127"/>
      <c r="B13" s="2128"/>
      <c r="C13" s="384">
        <v>2059</v>
      </c>
      <c r="D13" s="382">
        <f t="shared" si="1"/>
        <v>2305</v>
      </c>
      <c r="E13" s="385">
        <v>2305</v>
      </c>
      <c r="F13" s="385">
        <v>0</v>
      </c>
      <c r="G13" s="2136"/>
    </row>
    <row r="14" spans="1:8" s="379" customFormat="1" ht="18" customHeight="1">
      <c r="A14" s="2127"/>
      <c r="B14" s="2128"/>
      <c r="C14" s="384">
        <v>2057</v>
      </c>
      <c r="D14" s="382">
        <f t="shared" si="1"/>
        <v>238239</v>
      </c>
      <c r="E14" s="385">
        <v>238239</v>
      </c>
      <c r="F14" s="385">
        <v>0</v>
      </c>
      <c r="G14" s="2136" t="s">
        <v>286</v>
      </c>
    </row>
    <row r="15" spans="1:8" s="379" customFormat="1" ht="18" customHeight="1">
      <c r="A15" s="2127"/>
      <c r="B15" s="2128"/>
      <c r="C15" s="384">
        <v>2059</v>
      </c>
      <c r="D15" s="382">
        <f t="shared" si="1"/>
        <v>741</v>
      </c>
      <c r="E15" s="385">
        <v>741</v>
      </c>
      <c r="F15" s="385">
        <v>0</v>
      </c>
      <c r="G15" s="2136"/>
    </row>
    <row r="16" spans="1:8" s="379" customFormat="1" ht="24.95" customHeight="1">
      <c r="A16" s="2127"/>
      <c r="B16" s="2128"/>
      <c r="C16" s="384">
        <v>2057</v>
      </c>
      <c r="D16" s="382">
        <f t="shared" si="1"/>
        <v>221394</v>
      </c>
      <c r="E16" s="385">
        <v>221394</v>
      </c>
      <c r="F16" s="385">
        <v>0</v>
      </c>
      <c r="G16" s="2136" t="s">
        <v>287</v>
      </c>
    </row>
    <row r="17" spans="1:11" s="379" customFormat="1" ht="26.25" customHeight="1">
      <c r="A17" s="2127"/>
      <c r="B17" s="2128"/>
      <c r="C17" s="384">
        <v>2059</v>
      </c>
      <c r="D17" s="382">
        <f t="shared" si="1"/>
        <v>1492</v>
      </c>
      <c r="E17" s="385">
        <v>1492</v>
      </c>
      <c r="F17" s="385">
        <v>0</v>
      </c>
      <c r="G17" s="2136"/>
    </row>
    <row r="18" spans="1:11" s="379" customFormat="1" ht="18" customHeight="1">
      <c r="A18" s="2127"/>
      <c r="B18" s="2128"/>
      <c r="C18" s="384">
        <v>2057</v>
      </c>
      <c r="D18" s="382">
        <f t="shared" si="0"/>
        <v>829832</v>
      </c>
      <c r="E18" s="385">
        <v>829832</v>
      </c>
      <c r="F18" s="385">
        <v>0</v>
      </c>
      <c r="G18" s="2136" t="s">
        <v>288</v>
      </c>
    </row>
    <row r="19" spans="1:11" s="379" customFormat="1" ht="18" customHeight="1">
      <c r="A19" s="2127"/>
      <c r="B19" s="2135"/>
      <c r="C19" s="384">
        <v>2059</v>
      </c>
      <c r="D19" s="382">
        <f t="shared" si="0"/>
        <v>48741</v>
      </c>
      <c r="E19" s="385">
        <v>48741</v>
      </c>
      <c r="F19" s="385">
        <v>0</v>
      </c>
      <c r="G19" s="2136"/>
    </row>
    <row r="20" spans="1:11" s="379" customFormat="1" ht="18" customHeight="1">
      <c r="A20" s="2127"/>
      <c r="B20" s="2128">
        <v>80195</v>
      </c>
      <c r="C20" s="384">
        <v>2059</v>
      </c>
      <c r="D20" s="382">
        <f t="shared" si="0"/>
        <v>3451471</v>
      </c>
      <c r="E20" s="385">
        <v>3451471</v>
      </c>
      <c r="F20" s="385">
        <v>0</v>
      </c>
      <c r="G20" s="2131" t="s">
        <v>283</v>
      </c>
    </row>
    <row r="21" spans="1:11" s="379" customFormat="1" ht="18" customHeight="1">
      <c r="A21" s="2127"/>
      <c r="B21" s="2128"/>
      <c r="C21" s="384">
        <v>2009</v>
      </c>
      <c r="D21" s="382">
        <f t="shared" si="0"/>
        <v>740581</v>
      </c>
      <c r="E21" s="385">
        <v>740581</v>
      </c>
      <c r="F21" s="385"/>
      <c r="G21" s="2129"/>
    </row>
    <row r="22" spans="1:11" s="379" customFormat="1" ht="18" customHeight="1">
      <c r="A22" s="2133"/>
      <c r="B22" s="2135"/>
      <c r="C22" s="375">
        <v>6259</v>
      </c>
      <c r="D22" s="382">
        <f t="shared" si="0"/>
        <v>222600</v>
      </c>
      <c r="E22" s="383">
        <v>0</v>
      </c>
      <c r="F22" s="383">
        <v>222600</v>
      </c>
      <c r="G22" s="2129"/>
    </row>
    <row r="23" spans="1:11" s="379" customFormat="1" ht="18" customHeight="1">
      <c r="A23" s="386">
        <v>851</v>
      </c>
      <c r="B23" s="380">
        <v>85111</v>
      </c>
      <c r="C23" s="375">
        <v>6209</v>
      </c>
      <c r="D23" s="382">
        <f t="shared" si="0"/>
        <v>7005946</v>
      </c>
      <c r="E23" s="383">
        <v>0</v>
      </c>
      <c r="F23" s="383">
        <v>7005946</v>
      </c>
      <c r="G23" s="2129"/>
    </row>
    <row r="24" spans="1:11" s="366" customFormat="1" ht="18" customHeight="1">
      <c r="A24" s="2111">
        <v>852</v>
      </c>
      <c r="B24" s="2113">
        <v>85295</v>
      </c>
      <c r="C24" s="204">
        <v>2059</v>
      </c>
      <c r="D24" s="344">
        <f t="shared" si="0"/>
        <v>5301617</v>
      </c>
      <c r="E24" s="344">
        <v>5301617</v>
      </c>
      <c r="F24" s="387">
        <v>0</v>
      </c>
      <c r="G24" s="2129"/>
      <c r="H24" s="388"/>
      <c r="I24" s="389"/>
      <c r="J24" s="389"/>
    </row>
    <row r="25" spans="1:11" s="366" customFormat="1" ht="18" customHeight="1">
      <c r="A25" s="2117"/>
      <c r="B25" s="2118"/>
      <c r="C25" s="204">
        <v>6259</v>
      </c>
      <c r="D25" s="344">
        <f t="shared" si="0"/>
        <v>149433</v>
      </c>
      <c r="E25" s="344">
        <v>0</v>
      </c>
      <c r="F25" s="387">
        <v>149433</v>
      </c>
      <c r="G25" s="2129"/>
      <c r="H25" s="388"/>
      <c r="I25" s="389"/>
      <c r="J25" s="389"/>
    </row>
    <row r="26" spans="1:11" s="366" customFormat="1" ht="18" customHeight="1">
      <c r="A26" s="343">
        <v>853</v>
      </c>
      <c r="B26" s="390">
        <v>85395</v>
      </c>
      <c r="C26" s="204">
        <v>2059</v>
      </c>
      <c r="D26" s="344">
        <f t="shared" si="0"/>
        <v>1141642</v>
      </c>
      <c r="E26" s="344">
        <v>1141642</v>
      </c>
      <c r="F26" s="387">
        <v>0</v>
      </c>
      <c r="G26" s="2130"/>
      <c r="H26" s="388"/>
      <c r="I26" s="389"/>
      <c r="J26" s="389"/>
    </row>
    <row r="27" spans="1:11" ht="24.95" customHeight="1" thickBot="1">
      <c r="A27" s="2108" t="s">
        <v>22</v>
      </c>
      <c r="B27" s="2109"/>
      <c r="C27" s="2110"/>
      <c r="D27" s="391">
        <f>SUM(D7:D26)</f>
        <v>97388638</v>
      </c>
      <c r="E27" s="391">
        <f t="shared" ref="E27:F27" si="2">SUM(E7:E26)</f>
        <v>61924443</v>
      </c>
      <c r="F27" s="391">
        <f t="shared" si="2"/>
        <v>35464195</v>
      </c>
      <c r="G27" s="349"/>
      <c r="H27" s="392"/>
      <c r="I27" s="2"/>
      <c r="J27" s="2"/>
    </row>
    <row r="28" spans="1:11">
      <c r="A28" s="2126"/>
      <c r="B28" s="2126"/>
      <c r="C28" s="2126"/>
      <c r="D28" s="2126"/>
      <c r="E28" s="2126"/>
      <c r="F28" s="2126"/>
      <c r="G28" s="2126"/>
      <c r="H28" s="392"/>
      <c r="I28" s="2"/>
      <c r="J28" s="2"/>
    </row>
    <row r="29" spans="1:11" ht="18" customHeight="1" thickBot="1">
      <c r="A29" s="2098" t="s">
        <v>23</v>
      </c>
      <c r="B29" s="2098"/>
      <c r="C29" s="2098"/>
      <c r="D29" s="2098"/>
      <c r="E29" s="2098"/>
      <c r="F29" s="2098"/>
      <c r="G29" s="2098"/>
      <c r="H29" s="392"/>
      <c r="I29" s="2"/>
      <c r="J29" s="2"/>
      <c r="K29" s="393"/>
    </row>
    <row r="30" spans="1:11" ht="20.100000000000001" customHeight="1">
      <c r="A30" s="2120" t="s">
        <v>0</v>
      </c>
      <c r="B30" s="2122" t="s">
        <v>1</v>
      </c>
      <c r="C30" s="2122" t="s">
        <v>5</v>
      </c>
      <c r="D30" s="2103" t="s">
        <v>279</v>
      </c>
      <c r="E30" s="2101" t="s">
        <v>2</v>
      </c>
      <c r="F30" s="2101"/>
      <c r="G30" s="2124" t="s">
        <v>144</v>
      </c>
      <c r="H30" s="392"/>
      <c r="I30" s="2"/>
      <c r="J30" s="2"/>
    </row>
    <row r="31" spans="1:11" ht="20.100000000000001" customHeight="1">
      <c r="A31" s="2121"/>
      <c r="B31" s="2123"/>
      <c r="C31" s="2123"/>
      <c r="D31" s="2104"/>
      <c r="E31" s="342" t="s">
        <v>20</v>
      </c>
      <c r="F31" s="342" t="s">
        <v>19</v>
      </c>
      <c r="G31" s="2125"/>
      <c r="H31" s="2"/>
      <c r="I31" s="2"/>
      <c r="J31" s="2"/>
    </row>
    <row r="32" spans="1:11" s="366" customFormat="1" ht="18" customHeight="1">
      <c r="A32" s="2111">
        <v>150</v>
      </c>
      <c r="B32" s="2113">
        <v>15011</v>
      </c>
      <c r="C32" s="204">
        <v>2009</v>
      </c>
      <c r="D32" s="344">
        <f>SUM(E32:F32)</f>
        <v>4981211</v>
      </c>
      <c r="E32" s="387">
        <v>4981211</v>
      </c>
      <c r="F32" s="394">
        <v>0</v>
      </c>
      <c r="G32" s="2115" t="s">
        <v>283</v>
      </c>
      <c r="H32" s="389"/>
      <c r="I32" s="389"/>
      <c r="J32" s="389"/>
    </row>
    <row r="33" spans="1:10" s="366" customFormat="1" ht="18" customHeight="1">
      <c r="A33" s="2112"/>
      <c r="B33" s="2114"/>
      <c r="C33" s="390">
        <v>6209</v>
      </c>
      <c r="D33" s="344">
        <f>SUM(E33:F33)</f>
        <v>5696516</v>
      </c>
      <c r="E33" s="387">
        <v>0</v>
      </c>
      <c r="F33" s="394">
        <v>5696516</v>
      </c>
      <c r="G33" s="2116"/>
      <c r="H33" s="389"/>
      <c r="I33" s="389"/>
      <c r="J33" s="389"/>
    </row>
    <row r="34" spans="1:10" s="366" customFormat="1" ht="41.25" customHeight="1">
      <c r="A34" s="2112"/>
      <c r="B34" s="2114"/>
      <c r="C34" s="390">
        <v>2007</v>
      </c>
      <c r="D34" s="344">
        <f t="shared" ref="D34" si="3">SUM(E34:F34)</f>
        <v>8216400</v>
      </c>
      <c r="E34" s="387">
        <v>8216400</v>
      </c>
      <c r="F34" s="394">
        <v>0</v>
      </c>
      <c r="G34" s="395" t="s">
        <v>289</v>
      </c>
      <c r="H34" s="389"/>
      <c r="I34" s="389"/>
      <c r="J34" s="389"/>
    </row>
    <row r="35" spans="1:10" s="366" customFormat="1" ht="18" customHeight="1">
      <c r="A35" s="2111">
        <v>801</v>
      </c>
      <c r="B35" s="2113">
        <v>80195</v>
      </c>
      <c r="C35" s="390">
        <v>2009</v>
      </c>
      <c r="D35" s="396">
        <f>SUM(E35:F35)</f>
        <v>6047083</v>
      </c>
      <c r="E35" s="344">
        <v>6047083</v>
      </c>
      <c r="F35" s="387">
        <v>0</v>
      </c>
      <c r="G35" s="2115" t="s">
        <v>283</v>
      </c>
      <c r="H35" s="389"/>
      <c r="I35" s="389"/>
      <c r="J35" s="389"/>
    </row>
    <row r="36" spans="1:10" s="366" customFormat="1" ht="18" customHeight="1">
      <c r="A36" s="2117"/>
      <c r="B36" s="2118"/>
      <c r="C36" s="390">
        <v>6209</v>
      </c>
      <c r="D36" s="396">
        <f>SUM(E36:F36)</f>
        <v>18000</v>
      </c>
      <c r="E36" s="344">
        <v>0</v>
      </c>
      <c r="F36" s="387">
        <v>18000</v>
      </c>
      <c r="G36" s="2119"/>
      <c r="H36" s="389"/>
      <c r="I36" s="389"/>
      <c r="J36" s="389"/>
    </row>
    <row r="37" spans="1:10" s="366" customFormat="1" ht="18" customHeight="1">
      <c r="A37" s="2111">
        <v>852</v>
      </c>
      <c r="B37" s="2113">
        <v>85295</v>
      </c>
      <c r="C37" s="390">
        <v>2009</v>
      </c>
      <c r="D37" s="396">
        <f t="shared" ref="D37:D38" si="4">SUM(E37:F37)</f>
        <v>13706437</v>
      </c>
      <c r="E37" s="344">
        <v>13706437</v>
      </c>
      <c r="F37" s="387">
        <v>0</v>
      </c>
      <c r="G37" s="2119"/>
      <c r="H37" s="389"/>
      <c r="I37" s="389"/>
      <c r="J37" s="389"/>
    </row>
    <row r="38" spans="1:10" s="366" customFormat="1" ht="18" customHeight="1">
      <c r="A38" s="2117"/>
      <c r="B38" s="2118"/>
      <c r="C38" s="390">
        <v>6209</v>
      </c>
      <c r="D38" s="396">
        <f t="shared" si="4"/>
        <v>731967</v>
      </c>
      <c r="E38" s="344">
        <v>0</v>
      </c>
      <c r="F38" s="387">
        <v>731967</v>
      </c>
      <c r="G38" s="2119"/>
      <c r="H38" s="389"/>
      <c r="I38" s="389"/>
      <c r="J38" s="389"/>
    </row>
    <row r="39" spans="1:10" s="366" customFormat="1" ht="18" customHeight="1">
      <c r="A39" s="343">
        <v>853</v>
      </c>
      <c r="B39" s="204">
        <v>85395</v>
      </c>
      <c r="C39" s="204">
        <v>2009</v>
      </c>
      <c r="D39" s="344">
        <f>SUM(E39:F39)</f>
        <v>6339802</v>
      </c>
      <c r="E39" s="344">
        <v>6339802</v>
      </c>
      <c r="F39" s="387">
        <v>0</v>
      </c>
      <c r="G39" s="2116"/>
      <c r="H39" s="389"/>
      <c r="I39" s="389"/>
      <c r="J39" s="389"/>
    </row>
    <row r="40" spans="1:10" s="372" customFormat="1" ht="24.95" customHeight="1" thickBot="1">
      <c r="A40" s="2108" t="s">
        <v>22</v>
      </c>
      <c r="B40" s="2109"/>
      <c r="C40" s="2110"/>
      <c r="D40" s="391">
        <f>SUM(D32:D39)</f>
        <v>45737416</v>
      </c>
      <c r="E40" s="391">
        <f t="shared" ref="E40:F40" si="5">SUM(E32:E39)</f>
        <v>39290933</v>
      </c>
      <c r="F40" s="391">
        <f t="shared" si="5"/>
        <v>6446483</v>
      </c>
      <c r="G40" s="349"/>
    </row>
    <row r="41" spans="1:10">
      <c r="B41" s="397"/>
      <c r="C41" s="398"/>
      <c r="D41" s="2"/>
      <c r="E41" s="2"/>
      <c r="F41" s="2"/>
    </row>
    <row r="42" spans="1:10">
      <c r="C42" s="399"/>
      <c r="D42" s="2"/>
      <c r="E42" s="2"/>
      <c r="F42" s="2"/>
    </row>
    <row r="43" spans="1:10">
      <c r="C43" s="2"/>
      <c r="D43" s="2"/>
      <c r="E43" s="2"/>
      <c r="F43" s="2"/>
    </row>
    <row r="44" spans="1:10">
      <c r="C44" s="2"/>
      <c r="D44" s="2"/>
      <c r="E44" s="2"/>
      <c r="F44" s="2"/>
    </row>
    <row r="45" spans="1:10">
      <c r="C45" s="2"/>
    </row>
  </sheetData>
  <mergeCells count="40">
    <mergeCell ref="A2:G2"/>
    <mergeCell ref="A4:G4"/>
    <mergeCell ref="A5:A6"/>
    <mergeCell ref="B5:B6"/>
    <mergeCell ref="C5:C6"/>
    <mergeCell ref="D5:D6"/>
    <mergeCell ref="E5:F5"/>
    <mergeCell ref="G5:G6"/>
    <mergeCell ref="A28:G28"/>
    <mergeCell ref="A7:A9"/>
    <mergeCell ref="B7:B9"/>
    <mergeCell ref="G7:G9"/>
    <mergeCell ref="G10:G11"/>
    <mergeCell ref="A12:A22"/>
    <mergeCell ref="B12:B19"/>
    <mergeCell ref="G12:G13"/>
    <mergeCell ref="G14:G15"/>
    <mergeCell ref="G16:G17"/>
    <mergeCell ref="G18:G19"/>
    <mergeCell ref="B20:B22"/>
    <mergeCell ref="G20:G26"/>
    <mergeCell ref="A24:A25"/>
    <mergeCell ref="B24:B25"/>
    <mergeCell ref="A27:C27"/>
    <mergeCell ref="A29:G29"/>
    <mergeCell ref="A30:A31"/>
    <mergeCell ref="B30:B31"/>
    <mergeCell ref="C30:C31"/>
    <mergeCell ref="D30:D31"/>
    <mergeCell ref="E30:F30"/>
    <mergeCell ref="G30:G31"/>
    <mergeCell ref="A40:C40"/>
    <mergeCell ref="A32:A34"/>
    <mergeCell ref="B32:B34"/>
    <mergeCell ref="G32:G33"/>
    <mergeCell ref="A35:A36"/>
    <mergeCell ref="B35:B36"/>
    <mergeCell ref="G35:G39"/>
    <mergeCell ref="A37:A38"/>
    <mergeCell ref="B37:B38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83" orientation="landscape" r:id="rId1"/>
  <headerFooter alignWithMargins="0">
    <oddFooter>Strona &amp;P z &amp;N</oddFooter>
  </headerFooter>
  <rowBreaks count="1" manualBreakCount="1">
    <brk id="27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view="pageBreakPreview" zoomScaleSheetLayoutView="100" workbookViewId="0">
      <selection activeCell="G13" sqref="G13:G14"/>
    </sheetView>
  </sheetViews>
  <sheetFormatPr defaultRowHeight="12.75"/>
  <cols>
    <col min="1" max="6" width="12.7109375" style="1" customWidth="1"/>
    <col min="7" max="7" width="60.7109375" style="1" customWidth="1"/>
    <col min="8" max="8" width="19.7109375" style="1" customWidth="1"/>
    <col min="9" max="9" width="9.140625" style="1"/>
    <col min="10" max="10" width="11.140625" style="1" bestFit="1" customWidth="1"/>
    <col min="11" max="256" width="9.140625" style="1"/>
    <col min="257" max="257" width="7.7109375" style="1" customWidth="1"/>
    <col min="258" max="258" width="10.5703125" style="1" customWidth="1"/>
    <col min="259" max="259" width="11.140625" style="1" bestFit="1" customWidth="1"/>
    <col min="260" max="260" width="22.140625" style="1" bestFit="1" customWidth="1"/>
    <col min="261" max="261" width="12.28515625" style="1" customWidth="1"/>
    <col min="262" max="262" width="12.5703125" style="1" customWidth="1"/>
    <col min="263" max="263" width="12.140625" style="1" customWidth="1"/>
    <col min="264" max="264" width="19.7109375" style="1" customWidth="1"/>
    <col min="265" max="512" width="9.140625" style="1"/>
    <col min="513" max="513" width="7.7109375" style="1" customWidth="1"/>
    <col min="514" max="514" width="10.5703125" style="1" customWidth="1"/>
    <col min="515" max="515" width="11.140625" style="1" bestFit="1" customWidth="1"/>
    <col min="516" max="516" width="22.140625" style="1" bestFit="1" customWidth="1"/>
    <col min="517" max="517" width="12.28515625" style="1" customWidth="1"/>
    <col min="518" max="518" width="12.5703125" style="1" customWidth="1"/>
    <col min="519" max="519" width="12.140625" style="1" customWidth="1"/>
    <col min="520" max="520" width="19.7109375" style="1" customWidth="1"/>
    <col min="521" max="768" width="9.140625" style="1"/>
    <col min="769" max="769" width="7.7109375" style="1" customWidth="1"/>
    <col min="770" max="770" width="10.5703125" style="1" customWidth="1"/>
    <col min="771" max="771" width="11.140625" style="1" bestFit="1" customWidth="1"/>
    <col min="772" max="772" width="22.140625" style="1" bestFit="1" customWidth="1"/>
    <col min="773" max="773" width="12.28515625" style="1" customWidth="1"/>
    <col min="774" max="774" width="12.5703125" style="1" customWidth="1"/>
    <col min="775" max="775" width="12.140625" style="1" customWidth="1"/>
    <col min="776" max="776" width="19.7109375" style="1" customWidth="1"/>
    <col min="777" max="1024" width="9.140625" style="1"/>
    <col min="1025" max="1025" width="7.7109375" style="1" customWidth="1"/>
    <col min="1026" max="1026" width="10.5703125" style="1" customWidth="1"/>
    <col min="1027" max="1027" width="11.140625" style="1" bestFit="1" customWidth="1"/>
    <col min="1028" max="1028" width="22.140625" style="1" bestFit="1" customWidth="1"/>
    <col min="1029" max="1029" width="12.28515625" style="1" customWidth="1"/>
    <col min="1030" max="1030" width="12.5703125" style="1" customWidth="1"/>
    <col min="1031" max="1031" width="12.140625" style="1" customWidth="1"/>
    <col min="1032" max="1032" width="19.7109375" style="1" customWidth="1"/>
    <col min="1033" max="1280" width="9.140625" style="1"/>
    <col min="1281" max="1281" width="7.7109375" style="1" customWidth="1"/>
    <col min="1282" max="1282" width="10.5703125" style="1" customWidth="1"/>
    <col min="1283" max="1283" width="11.140625" style="1" bestFit="1" customWidth="1"/>
    <col min="1284" max="1284" width="22.140625" style="1" bestFit="1" customWidth="1"/>
    <col min="1285" max="1285" width="12.28515625" style="1" customWidth="1"/>
    <col min="1286" max="1286" width="12.5703125" style="1" customWidth="1"/>
    <col min="1287" max="1287" width="12.140625" style="1" customWidth="1"/>
    <col min="1288" max="1288" width="19.7109375" style="1" customWidth="1"/>
    <col min="1289" max="1536" width="9.140625" style="1"/>
    <col min="1537" max="1537" width="7.7109375" style="1" customWidth="1"/>
    <col min="1538" max="1538" width="10.5703125" style="1" customWidth="1"/>
    <col min="1539" max="1539" width="11.140625" style="1" bestFit="1" customWidth="1"/>
    <col min="1540" max="1540" width="22.140625" style="1" bestFit="1" customWidth="1"/>
    <col min="1541" max="1541" width="12.28515625" style="1" customWidth="1"/>
    <col min="1542" max="1542" width="12.5703125" style="1" customWidth="1"/>
    <col min="1543" max="1543" width="12.140625" style="1" customWidth="1"/>
    <col min="1544" max="1544" width="19.7109375" style="1" customWidth="1"/>
    <col min="1545" max="1792" width="9.140625" style="1"/>
    <col min="1793" max="1793" width="7.7109375" style="1" customWidth="1"/>
    <col min="1794" max="1794" width="10.5703125" style="1" customWidth="1"/>
    <col min="1795" max="1795" width="11.140625" style="1" bestFit="1" customWidth="1"/>
    <col min="1796" max="1796" width="22.140625" style="1" bestFit="1" customWidth="1"/>
    <col min="1797" max="1797" width="12.28515625" style="1" customWidth="1"/>
    <col min="1798" max="1798" width="12.5703125" style="1" customWidth="1"/>
    <col min="1799" max="1799" width="12.140625" style="1" customWidth="1"/>
    <col min="1800" max="1800" width="19.7109375" style="1" customWidth="1"/>
    <col min="1801" max="2048" width="9.140625" style="1"/>
    <col min="2049" max="2049" width="7.7109375" style="1" customWidth="1"/>
    <col min="2050" max="2050" width="10.5703125" style="1" customWidth="1"/>
    <col min="2051" max="2051" width="11.140625" style="1" bestFit="1" customWidth="1"/>
    <col min="2052" max="2052" width="22.140625" style="1" bestFit="1" customWidth="1"/>
    <col min="2053" max="2053" width="12.28515625" style="1" customWidth="1"/>
    <col min="2054" max="2054" width="12.5703125" style="1" customWidth="1"/>
    <col min="2055" max="2055" width="12.140625" style="1" customWidth="1"/>
    <col min="2056" max="2056" width="19.7109375" style="1" customWidth="1"/>
    <col min="2057" max="2304" width="9.140625" style="1"/>
    <col min="2305" max="2305" width="7.7109375" style="1" customWidth="1"/>
    <col min="2306" max="2306" width="10.5703125" style="1" customWidth="1"/>
    <col min="2307" max="2307" width="11.140625" style="1" bestFit="1" customWidth="1"/>
    <col min="2308" max="2308" width="22.140625" style="1" bestFit="1" customWidth="1"/>
    <col min="2309" max="2309" width="12.28515625" style="1" customWidth="1"/>
    <col min="2310" max="2310" width="12.5703125" style="1" customWidth="1"/>
    <col min="2311" max="2311" width="12.140625" style="1" customWidth="1"/>
    <col min="2312" max="2312" width="19.7109375" style="1" customWidth="1"/>
    <col min="2313" max="2560" width="9.140625" style="1"/>
    <col min="2561" max="2561" width="7.7109375" style="1" customWidth="1"/>
    <col min="2562" max="2562" width="10.5703125" style="1" customWidth="1"/>
    <col min="2563" max="2563" width="11.140625" style="1" bestFit="1" customWidth="1"/>
    <col min="2564" max="2564" width="22.140625" style="1" bestFit="1" customWidth="1"/>
    <col min="2565" max="2565" width="12.28515625" style="1" customWidth="1"/>
    <col min="2566" max="2566" width="12.5703125" style="1" customWidth="1"/>
    <col min="2567" max="2567" width="12.140625" style="1" customWidth="1"/>
    <col min="2568" max="2568" width="19.7109375" style="1" customWidth="1"/>
    <col min="2569" max="2816" width="9.140625" style="1"/>
    <col min="2817" max="2817" width="7.7109375" style="1" customWidth="1"/>
    <col min="2818" max="2818" width="10.5703125" style="1" customWidth="1"/>
    <col min="2819" max="2819" width="11.140625" style="1" bestFit="1" customWidth="1"/>
    <col min="2820" max="2820" width="22.140625" style="1" bestFit="1" customWidth="1"/>
    <col min="2821" max="2821" width="12.28515625" style="1" customWidth="1"/>
    <col min="2822" max="2822" width="12.5703125" style="1" customWidth="1"/>
    <col min="2823" max="2823" width="12.140625" style="1" customWidth="1"/>
    <col min="2824" max="2824" width="19.7109375" style="1" customWidth="1"/>
    <col min="2825" max="3072" width="9.140625" style="1"/>
    <col min="3073" max="3073" width="7.7109375" style="1" customWidth="1"/>
    <col min="3074" max="3074" width="10.5703125" style="1" customWidth="1"/>
    <col min="3075" max="3075" width="11.140625" style="1" bestFit="1" customWidth="1"/>
    <col min="3076" max="3076" width="22.140625" style="1" bestFit="1" customWidth="1"/>
    <col min="3077" max="3077" width="12.28515625" style="1" customWidth="1"/>
    <col min="3078" max="3078" width="12.5703125" style="1" customWidth="1"/>
    <col min="3079" max="3079" width="12.140625" style="1" customWidth="1"/>
    <col min="3080" max="3080" width="19.7109375" style="1" customWidth="1"/>
    <col min="3081" max="3328" width="9.140625" style="1"/>
    <col min="3329" max="3329" width="7.7109375" style="1" customWidth="1"/>
    <col min="3330" max="3330" width="10.5703125" style="1" customWidth="1"/>
    <col min="3331" max="3331" width="11.140625" style="1" bestFit="1" customWidth="1"/>
    <col min="3332" max="3332" width="22.140625" style="1" bestFit="1" customWidth="1"/>
    <col min="3333" max="3333" width="12.28515625" style="1" customWidth="1"/>
    <col min="3334" max="3334" width="12.5703125" style="1" customWidth="1"/>
    <col min="3335" max="3335" width="12.140625" style="1" customWidth="1"/>
    <col min="3336" max="3336" width="19.7109375" style="1" customWidth="1"/>
    <col min="3337" max="3584" width="9.140625" style="1"/>
    <col min="3585" max="3585" width="7.7109375" style="1" customWidth="1"/>
    <col min="3586" max="3586" width="10.5703125" style="1" customWidth="1"/>
    <col min="3587" max="3587" width="11.140625" style="1" bestFit="1" customWidth="1"/>
    <col min="3588" max="3588" width="22.140625" style="1" bestFit="1" customWidth="1"/>
    <col min="3589" max="3589" width="12.28515625" style="1" customWidth="1"/>
    <col min="3590" max="3590" width="12.5703125" style="1" customWidth="1"/>
    <col min="3591" max="3591" width="12.140625" style="1" customWidth="1"/>
    <col min="3592" max="3592" width="19.7109375" style="1" customWidth="1"/>
    <col min="3593" max="3840" width="9.140625" style="1"/>
    <col min="3841" max="3841" width="7.7109375" style="1" customWidth="1"/>
    <col min="3842" max="3842" width="10.5703125" style="1" customWidth="1"/>
    <col min="3843" max="3843" width="11.140625" style="1" bestFit="1" customWidth="1"/>
    <col min="3844" max="3844" width="22.140625" style="1" bestFit="1" customWidth="1"/>
    <col min="3845" max="3845" width="12.28515625" style="1" customWidth="1"/>
    <col min="3846" max="3846" width="12.5703125" style="1" customWidth="1"/>
    <col min="3847" max="3847" width="12.140625" style="1" customWidth="1"/>
    <col min="3848" max="3848" width="19.7109375" style="1" customWidth="1"/>
    <col min="3849" max="4096" width="9.140625" style="1"/>
    <col min="4097" max="4097" width="7.7109375" style="1" customWidth="1"/>
    <col min="4098" max="4098" width="10.5703125" style="1" customWidth="1"/>
    <col min="4099" max="4099" width="11.140625" style="1" bestFit="1" customWidth="1"/>
    <col min="4100" max="4100" width="22.140625" style="1" bestFit="1" customWidth="1"/>
    <col min="4101" max="4101" width="12.28515625" style="1" customWidth="1"/>
    <col min="4102" max="4102" width="12.5703125" style="1" customWidth="1"/>
    <col min="4103" max="4103" width="12.140625" style="1" customWidth="1"/>
    <col min="4104" max="4104" width="19.7109375" style="1" customWidth="1"/>
    <col min="4105" max="4352" width="9.140625" style="1"/>
    <col min="4353" max="4353" width="7.7109375" style="1" customWidth="1"/>
    <col min="4354" max="4354" width="10.5703125" style="1" customWidth="1"/>
    <col min="4355" max="4355" width="11.140625" style="1" bestFit="1" customWidth="1"/>
    <col min="4356" max="4356" width="22.140625" style="1" bestFit="1" customWidth="1"/>
    <col min="4357" max="4357" width="12.28515625" style="1" customWidth="1"/>
    <col min="4358" max="4358" width="12.5703125" style="1" customWidth="1"/>
    <col min="4359" max="4359" width="12.140625" style="1" customWidth="1"/>
    <col min="4360" max="4360" width="19.7109375" style="1" customWidth="1"/>
    <col min="4361" max="4608" width="9.140625" style="1"/>
    <col min="4609" max="4609" width="7.7109375" style="1" customWidth="1"/>
    <col min="4610" max="4610" width="10.5703125" style="1" customWidth="1"/>
    <col min="4611" max="4611" width="11.140625" style="1" bestFit="1" customWidth="1"/>
    <col min="4612" max="4612" width="22.140625" style="1" bestFit="1" customWidth="1"/>
    <col min="4613" max="4613" width="12.28515625" style="1" customWidth="1"/>
    <col min="4614" max="4614" width="12.5703125" style="1" customWidth="1"/>
    <col min="4615" max="4615" width="12.140625" style="1" customWidth="1"/>
    <col min="4616" max="4616" width="19.7109375" style="1" customWidth="1"/>
    <col min="4617" max="4864" width="9.140625" style="1"/>
    <col min="4865" max="4865" width="7.7109375" style="1" customWidth="1"/>
    <col min="4866" max="4866" width="10.5703125" style="1" customWidth="1"/>
    <col min="4867" max="4867" width="11.140625" style="1" bestFit="1" customWidth="1"/>
    <col min="4868" max="4868" width="22.140625" style="1" bestFit="1" customWidth="1"/>
    <col min="4869" max="4869" width="12.28515625" style="1" customWidth="1"/>
    <col min="4870" max="4870" width="12.5703125" style="1" customWidth="1"/>
    <col min="4871" max="4871" width="12.140625" style="1" customWidth="1"/>
    <col min="4872" max="4872" width="19.7109375" style="1" customWidth="1"/>
    <col min="4873" max="5120" width="9.140625" style="1"/>
    <col min="5121" max="5121" width="7.7109375" style="1" customWidth="1"/>
    <col min="5122" max="5122" width="10.5703125" style="1" customWidth="1"/>
    <col min="5123" max="5123" width="11.140625" style="1" bestFit="1" customWidth="1"/>
    <col min="5124" max="5124" width="22.140625" style="1" bestFit="1" customWidth="1"/>
    <col min="5125" max="5125" width="12.28515625" style="1" customWidth="1"/>
    <col min="5126" max="5126" width="12.5703125" style="1" customWidth="1"/>
    <col min="5127" max="5127" width="12.140625" style="1" customWidth="1"/>
    <col min="5128" max="5128" width="19.7109375" style="1" customWidth="1"/>
    <col min="5129" max="5376" width="9.140625" style="1"/>
    <col min="5377" max="5377" width="7.7109375" style="1" customWidth="1"/>
    <col min="5378" max="5378" width="10.5703125" style="1" customWidth="1"/>
    <col min="5379" max="5379" width="11.140625" style="1" bestFit="1" customWidth="1"/>
    <col min="5380" max="5380" width="22.140625" style="1" bestFit="1" customWidth="1"/>
    <col min="5381" max="5381" width="12.28515625" style="1" customWidth="1"/>
    <col min="5382" max="5382" width="12.5703125" style="1" customWidth="1"/>
    <col min="5383" max="5383" width="12.140625" style="1" customWidth="1"/>
    <col min="5384" max="5384" width="19.7109375" style="1" customWidth="1"/>
    <col min="5385" max="5632" width="9.140625" style="1"/>
    <col min="5633" max="5633" width="7.7109375" style="1" customWidth="1"/>
    <col min="5634" max="5634" width="10.5703125" style="1" customWidth="1"/>
    <col min="5635" max="5635" width="11.140625" style="1" bestFit="1" customWidth="1"/>
    <col min="5636" max="5636" width="22.140625" style="1" bestFit="1" customWidth="1"/>
    <col min="5637" max="5637" width="12.28515625" style="1" customWidth="1"/>
    <col min="5638" max="5638" width="12.5703125" style="1" customWidth="1"/>
    <col min="5639" max="5639" width="12.140625" style="1" customWidth="1"/>
    <col min="5640" max="5640" width="19.7109375" style="1" customWidth="1"/>
    <col min="5641" max="5888" width="9.140625" style="1"/>
    <col min="5889" max="5889" width="7.7109375" style="1" customWidth="1"/>
    <col min="5890" max="5890" width="10.5703125" style="1" customWidth="1"/>
    <col min="5891" max="5891" width="11.140625" style="1" bestFit="1" customWidth="1"/>
    <col min="5892" max="5892" width="22.140625" style="1" bestFit="1" customWidth="1"/>
    <col min="5893" max="5893" width="12.28515625" style="1" customWidth="1"/>
    <col min="5894" max="5894" width="12.5703125" style="1" customWidth="1"/>
    <col min="5895" max="5895" width="12.140625" style="1" customWidth="1"/>
    <col min="5896" max="5896" width="19.7109375" style="1" customWidth="1"/>
    <col min="5897" max="6144" width="9.140625" style="1"/>
    <col min="6145" max="6145" width="7.7109375" style="1" customWidth="1"/>
    <col min="6146" max="6146" width="10.5703125" style="1" customWidth="1"/>
    <col min="6147" max="6147" width="11.140625" style="1" bestFit="1" customWidth="1"/>
    <col min="6148" max="6148" width="22.140625" style="1" bestFit="1" customWidth="1"/>
    <col min="6149" max="6149" width="12.28515625" style="1" customWidth="1"/>
    <col min="6150" max="6150" width="12.5703125" style="1" customWidth="1"/>
    <col min="6151" max="6151" width="12.140625" style="1" customWidth="1"/>
    <col min="6152" max="6152" width="19.7109375" style="1" customWidth="1"/>
    <col min="6153" max="6400" width="9.140625" style="1"/>
    <col min="6401" max="6401" width="7.7109375" style="1" customWidth="1"/>
    <col min="6402" max="6402" width="10.5703125" style="1" customWidth="1"/>
    <col min="6403" max="6403" width="11.140625" style="1" bestFit="1" customWidth="1"/>
    <col min="6404" max="6404" width="22.140625" style="1" bestFit="1" customWidth="1"/>
    <col min="6405" max="6405" width="12.28515625" style="1" customWidth="1"/>
    <col min="6406" max="6406" width="12.5703125" style="1" customWidth="1"/>
    <col min="6407" max="6407" width="12.140625" style="1" customWidth="1"/>
    <col min="6408" max="6408" width="19.7109375" style="1" customWidth="1"/>
    <col min="6409" max="6656" width="9.140625" style="1"/>
    <col min="6657" max="6657" width="7.7109375" style="1" customWidth="1"/>
    <col min="6658" max="6658" width="10.5703125" style="1" customWidth="1"/>
    <col min="6659" max="6659" width="11.140625" style="1" bestFit="1" customWidth="1"/>
    <col min="6660" max="6660" width="22.140625" style="1" bestFit="1" customWidth="1"/>
    <col min="6661" max="6661" width="12.28515625" style="1" customWidth="1"/>
    <col min="6662" max="6662" width="12.5703125" style="1" customWidth="1"/>
    <col min="6663" max="6663" width="12.140625" style="1" customWidth="1"/>
    <col min="6664" max="6664" width="19.7109375" style="1" customWidth="1"/>
    <col min="6665" max="6912" width="9.140625" style="1"/>
    <col min="6913" max="6913" width="7.7109375" style="1" customWidth="1"/>
    <col min="6914" max="6914" width="10.5703125" style="1" customWidth="1"/>
    <col min="6915" max="6915" width="11.140625" style="1" bestFit="1" customWidth="1"/>
    <col min="6916" max="6916" width="22.140625" style="1" bestFit="1" customWidth="1"/>
    <col min="6917" max="6917" width="12.28515625" style="1" customWidth="1"/>
    <col min="6918" max="6918" width="12.5703125" style="1" customWidth="1"/>
    <col min="6919" max="6919" width="12.140625" style="1" customWidth="1"/>
    <col min="6920" max="6920" width="19.7109375" style="1" customWidth="1"/>
    <col min="6921" max="7168" width="9.140625" style="1"/>
    <col min="7169" max="7169" width="7.7109375" style="1" customWidth="1"/>
    <col min="7170" max="7170" width="10.5703125" style="1" customWidth="1"/>
    <col min="7171" max="7171" width="11.140625" style="1" bestFit="1" customWidth="1"/>
    <col min="7172" max="7172" width="22.140625" style="1" bestFit="1" customWidth="1"/>
    <col min="7173" max="7173" width="12.28515625" style="1" customWidth="1"/>
    <col min="7174" max="7174" width="12.5703125" style="1" customWidth="1"/>
    <col min="7175" max="7175" width="12.140625" style="1" customWidth="1"/>
    <col min="7176" max="7176" width="19.7109375" style="1" customWidth="1"/>
    <col min="7177" max="7424" width="9.140625" style="1"/>
    <col min="7425" max="7425" width="7.7109375" style="1" customWidth="1"/>
    <col min="7426" max="7426" width="10.5703125" style="1" customWidth="1"/>
    <col min="7427" max="7427" width="11.140625" style="1" bestFit="1" customWidth="1"/>
    <col min="7428" max="7428" width="22.140625" style="1" bestFit="1" customWidth="1"/>
    <col min="7429" max="7429" width="12.28515625" style="1" customWidth="1"/>
    <col min="7430" max="7430" width="12.5703125" style="1" customWidth="1"/>
    <col min="7431" max="7431" width="12.140625" style="1" customWidth="1"/>
    <col min="7432" max="7432" width="19.7109375" style="1" customWidth="1"/>
    <col min="7433" max="7680" width="9.140625" style="1"/>
    <col min="7681" max="7681" width="7.7109375" style="1" customWidth="1"/>
    <col min="7682" max="7682" width="10.5703125" style="1" customWidth="1"/>
    <col min="7683" max="7683" width="11.140625" style="1" bestFit="1" customWidth="1"/>
    <col min="7684" max="7684" width="22.140625" style="1" bestFit="1" customWidth="1"/>
    <col min="7685" max="7685" width="12.28515625" style="1" customWidth="1"/>
    <col min="7686" max="7686" width="12.5703125" style="1" customWidth="1"/>
    <col min="7687" max="7687" width="12.140625" style="1" customWidth="1"/>
    <col min="7688" max="7688" width="19.7109375" style="1" customWidth="1"/>
    <col min="7689" max="7936" width="9.140625" style="1"/>
    <col min="7937" max="7937" width="7.7109375" style="1" customWidth="1"/>
    <col min="7938" max="7938" width="10.5703125" style="1" customWidth="1"/>
    <col min="7939" max="7939" width="11.140625" style="1" bestFit="1" customWidth="1"/>
    <col min="7940" max="7940" width="22.140625" style="1" bestFit="1" customWidth="1"/>
    <col min="7941" max="7941" width="12.28515625" style="1" customWidth="1"/>
    <col min="7942" max="7942" width="12.5703125" style="1" customWidth="1"/>
    <col min="7943" max="7943" width="12.140625" style="1" customWidth="1"/>
    <col min="7944" max="7944" width="19.7109375" style="1" customWidth="1"/>
    <col min="7945" max="8192" width="9.140625" style="1"/>
    <col min="8193" max="8193" width="7.7109375" style="1" customWidth="1"/>
    <col min="8194" max="8194" width="10.5703125" style="1" customWidth="1"/>
    <col min="8195" max="8195" width="11.140625" style="1" bestFit="1" customWidth="1"/>
    <col min="8196" max="8196" width="22.140625" style="1" bestFit="1" customWidth="1"/>
    <col min="8197" max="8197" width="12.28515625" style="1" customWidth="1"/>
    <col min="8198" max="8198" width="12.5703125" style="1" customWidth="1"/>
    <col min="8199" max="8199" width="12.140625" style="1" customWidth="1"/>
    <col min="8200" max="8200" width="19.7109375" style="1" customWidth="1"/>
    <col min="8201" max="8448" width="9.140625" style="1"/>
    <col min="8449" max="8449" width="7.7109375" style="1" customWidth="1"/>
    <col min="8450" max="8450" width="10.5703125" style="1" customWidth="1"/>
    <col min="8451" max="8451" width="11.140625" style="1" bestFit="1" customWidth="1"/>
    <col min="8452" max="8452" width="22.140625" style="1" bestFit="1" customWidth="1"/>
    <col min="8453" max="8453" width="12.28515625" style="1" customWidth="1"/>
    <col min="8454" max="8454" width="12.5703125" style="1" customWidth="1"/>
    <col min="8455" max="8455" width="12.140625" style="1" customWidth="1"/>
    <col min="8456" max="8456" width="19.7109375" style="1" customWidth="1"/>
    <col min="8457" max="8704" width="9.140625" style="1"/>
    <col min="8705" max="8705" width="7.7109375" style="1" customWidth="1"/>
    <col min="8706" max="8706" width="10.5703125" style="1" customWidth="1"/>
    <col min="8707" max="8707" width="11.140625" style="1" bestFit="1" customWidth="1"/>
    <col min="8708" max="8708" width="22.140625" style="1" bestFit="1" customWidth="1"/>
    <col min="8709" max="8709" width="12.28515625" style="1" customWidth="1"/>
    <col min="8710" max="8710" width="12.5703125" style="1" customWidth="1"/>
    <col min="8711" max="8711" width="12.140625" style="1" customWidth="1"/>
    <col min="8712" max="8712" width="19.7109375" style="1" customWidth="1"/>
    <col min="8713" max="8960" width="9.140625" style="1"/>
    <col min="8961" max="8961" width="7.7109375" style="1" customWidth="1"/>
    <col min="8962" max="8962" width="10.5703125" style="1" customWidth="1"/>
    <col min="8963" max="8963" width="11.140625" style="1" bestFit="1" customWidth="1"/>
    <col min="8964" max="8964" width="22.140625" style="1" bestFit="1" customWidth="1"/>
    <col min="8965" max="8965" width="12.28515625" style="1" customWidth="1"/>
    <col min="8966" max="8966" width="12.5703125" style="1" customWidth="1"/>
    <col min="8967" max="8967" width="12.140625" style="1" customWidth="1"/>
    <col min="8968" max="8968" width="19.7109375" style="1" customWidth="1"/>
    <col min="8969" max="9216" width="9.140625" style="1"/>
    <col min="9217" max="9217" width="7.7109375" style="1" customWidth="1"/>
    <col min="9218" max="9218" width="10.5703125" style="1" customWidth="1"/>
    <col min="9219" max="9219" width="11.140625" style="1" bestFit="1" customWidth="1"/>
    <col min="9220" max="9220" width="22.140625" style="1" bestFit="1" customWidth="1"/>
    <col min="9221" max="9221" width="12.28515625" style="1" customWidth="1"/>
    <col min="9222" max="9222" width="12.5703125" style="1" customWidth="1"/>
    <col min="9223" max="9223" width="12.140625" style="1" customWidth="1"/>
    <col min="9224" max="9224" width="19.7109375" style="1" customWidth="1"/>
    <col min="9225" max="9472" width="9.140625" style="1"/>
    <col min="9473" max="9473" width="7.7109375" style="1" customWidth="1"/>
    <col min="9474" max="9474" width="10.5703125" style="1" customWidth="1"/>
    <col min="9475" max="9475" width="11.140625" style="1" bestFit="1" customWidth="1"/>
    <col min="9476" max="9476" width="22.140625" style="1" bestFit="1" customWidth="1"/>
    <col min="9477" max="9477" width="12.28515625" style="1" customWidth="1"/>
    <col min="9478" max="9478" width="12.5703125" style="1" customWidth="1"/>
    <col min="9479" max="9479" width="12.140625" style="1" customWidth="1"/>
    <col min="9480" max="9480" width="19.7109375" style="1" customWidth="1"/>
    <col min="9481" max="9728" width="9.140625" style="1"/>
    <col min="9729" max="9729" width="7.7109375" style="1" customWidth="1"/>
    <col min="9730" max="9730" width="10.5703125" style="1" customWidth="1"/>
    <col min="9731" max="9731" width="11.140625" style="1" bestFit="1" customWidth="1"/>
    <col min="9732" max="9732" width="22.140625" style="1" bestFit="1" customWidth="1"/>
    <col min="9733" max="9733" width="12.28515625" style="1" customWidth="1"/>
    <col min="9734" max="9734" width="12.5703125" style="1" customWidth="1"/>
    <col min="9735" max="9735" width="12.140625" style="1" customWidth="1"/>
    <col min="9736" max="9736" width="19.7109375" style="1" customWidth="1"/>
    <col min="9737" max="9984" width="9.140625" style="1"/>
    <col min="9985" max="9985" width="7.7109375" style="1" customWidth="1"/>
    <col min="9986" max="9986" width="10.5703125" style="1" customWidth="1"/>
    <col min="9987" max="9987" width="11.140625" style="1" bestFit="1" customWidth="1"/>
    <col min="9988" max="9988" width="22.140625" style="1" bestFit="1" customWidth="1"/>
    <col min="9989" max="9989" width="12.28515625" style="1" customWidth="1"/>
    <col min="9990" max="9990" width="12.5703125" style="1" customWidth="1"/>
    <col min="9991" max="9991" width="12.140625" style="1" customWidth="1"/>
    <col min="9992" max="9992" width="19.7109375" style="1" customWidth="1"/>
    <col min="9993" max="10240" width="9.140625" style="1"/>
    <col min="10241" max="10241" width="7.7109375" style="1" customWidth="1"/>
    <col min="10242" max="10242" width="10.5703125" style="1" customWidth="1"/>
    <col min="10243" max="10243" width="11.140625" style="1" bestFit="1" customWidth="1"/>
    <col min="10244" max="10244" width="22.140625" style="1" bestFit="1" customWidth="1"/>
    <col min="10245" max="10245" width="12.28515625" style="1" customWidth="1"/>
    <col min="10246" max="10246" width="12.5703125" style="1" customWidth="1"/>
    <col min="10247" max="10247" width="12.140625" style="1" customWidth="1"/>
    <col min="10248" max="10248" width="19.7109375" style="1" customWidth="1"/>
    <col min="10249" max="10496" width="9.140625" style="1"/>
    <col min="10497" max="10497" width="7.7109375" style="1" customWidth="1"/>
    <col min="10498" max="10498" width="10.5703125" style="1" customWidth="1"/>
    <col min="10499" max="10499" width="11.140625" style="1" bestFit="1" customWidth="1"/>
    <col min="10500" max="10500" width="22.140625" style="1" bestFit="1" customWidth="1"/>
    <col min="10501" max="10501" width="12.28515625" style="1" customWidth="1"/>
    <col min="10502" max="10502" width="12.5703125" style="1" customWidth="1"/>
    <col min="10503" max="10503" width="12.140625" style="1" customWidth="1"/>
    <col min="10504" max="10504" width="19.7109375" style="1" customWidth="1"/>
    <col min="10505" max="10752" width="9.140625" style="1"/>
    <col min="10753" max="10753" width="7.7109375" style="1" customWidth="1"/>
    <col min="10754" max="10754" width="10.5703125" style="1" customWidth="1"/>
    <col min="10755" max="10755" width="11.140625" style="1" bestFit="1" customWidth="1"/>
    <col min="10756" max="10756" width="22.140625" style="1" bestFit="1" customWidth="1"/>
    <col min="10757" max="10757" width="12.28515625" style="1" customWidth="1"/>
    <col min="10758" max="10758" width="12.5703125" style="1" customWidth="1"/>
    <col min="10759" max="10759" width="12.140625" style="1" customWidth="1"/>
    <col min="10760" max="10760" width="19.7109375" style="1" customWidth="1"/>
    <col min="10761" max="11008" width="9.140625" style="1"/>
    <col min="11009" max="11009" width="7.7109375" style="1" customWidth="1"/>
    <col min="11010" max="11010" width="10.5703125" style="1" customWidth="1"/>
    <col min="11011" max="11011" width="11.140625" style="1" bestFit="1" customWidth="1"/>
    <col min="11012" max="11012" width="22.140625" style="1" bestFit="1" customWidth="1"/>
    <col min="11013" max="11013" width="12.28515625" style="1" customWidth="1"/>
    <col min="11014" max="11014" width="12.5703125" style="1" customWidth="1"/>
    <col min="11015" max="11015" width="12.140625" style="1" customWidth="1"/>
    <col min="11016" max="11016" width="19.7109375" style="1" customWidth="1"/>
    <col min="11017" max="11264" width="9.140625" style="1"/>
    <col min="11265" max="11265" width="7.7109375" style="1" customWidth="1"/>
    <col min="11266" max="11266" width="10.5703125" style="1" customWidth="1"/>
    <col min="11267" max="11267" width="11.140625" style="1" bestFit="1" customWidth="1"/>
    <col min="11268" max="11268" width="22.140625" style="1" bestFit="1" customWidth="1"/>
    <col min="11269" max="11269" width="12.28515625" style="1" customWidth="1"/>
    <col min="11270" max="11270" width="12.5703125" style="1" customWidth="1"/>
    <col min="11271" max="11271" width="12.140625" style="1" customWidth="1"/>
    <col min="11272" max="11272" width="19.7109375" style="1" customWidth="1"/>
    <col min="11273" max="11520" width="9.140625" style="1"/>
    <col min="11521" max="11521" width="7.7109375" style="1" customWidth="1"/>
    <col min="11522" max="11522" width="10.5703125" style="1" customWidth="1"/>
    <col min="11523" max="11523" width="11.140625" style="1" bestFit="1" customWidth="1"/>
    <col min="11524" max="11524" width="22.140625" style="1" bestFit="1" customWidth="1"/>
    <col min="11525" max="11525" width="12.28515625" style="1" customWidth="1"/>
    <col min="11526" max="11526" width="12.5703125" style="1" customWidth="1"/>
    <col min="11527" max="11527" width="12.140625" style="1" customWidth="1"/>
    <col min="11528" max="11528" width="19.7109375" style="1" customWidth="1"/>
    <col min="11529" max="11776" width="9.140625" style="1"/>
    <col min="11777" max="11777" width="7.7109375" style="1" customWidth="1"/>
    <col min="11778" max="11778" width="10.5703125" style="1" customWidth="1"/>
    <col min="11779" max="11779" width="11.140625" style="1" bestFit="1" customWidth="1"/>
    <col min="11780" max="11780" width="22.140625" style="1" bestFit="1" customWidth="1"/>
    <col min="11781" max="11781" width="12.28515625" style="1" customWidth="1"/>
    <col min="11782" max="11782" width="12.5703125" style="1" customWidth="1"/>
    <col min="11783" max="11783" width="12.140625" style="1" customWidth="1"/>
    <col min="11784" max="11784" width="19.7109375" style="1" customWidth="1"/>
    <col min="11785" max="12032" width="9.140625" style="1"/>
    <col min="12033" max="12033" width="7.7109375" style="1" customWidth="1"/>
    <col min="12034" max="12034" width="10.5703125" style="1" customWidth="1"/>
    <col min="12035" max="12035" width="11.140625" style="1" bestFit="1" customWidth="1"/>
    <col min="12036" max="12036" width="22.140625" style="1" bestFit="1" customWidth="1"/>
    <col min="12037" max="12037" width="12.28515625" style="1" customWidth="1"/>
    <col min="12038" max="12038" width="12.5703125" style="1" customWidth="1"/>
    <col min="12039" max="12039" width="12.140625" style="1" customWidth="1"/>
    <col min="12040" max="12040" width="19.7109375" style="1" customWidth="1"/>
    <col min="12041" max="12288" width="9.140625" style="1"/>
    <col min="12289" max="12289" width="7.7109375" style="1" customWidth="1"/>
    <col min="12290" max="12290" width="10.5703125" style="1" customWidth="1"/>
    <col min="12291" max="12291" width="11.140625" style="1" bestFit="1" customWidth="1"/>
    <col min="12292" max="12292" width="22.140625" style="1" bestFit="1" customWidth="1"/>
    <col min="12293" max="12293" width="12.28515625" style="1" customWidth="1"/>
    <col min="12294" max="12294" width="12.5703125" style="1" customWidth="1"/>
    <col min="12295" max="12295" width="12.140625" style="1" customWidth="1"/>
    <col min="12296" max="12296" width="19.7109375" style="1" customWidth="1"/>
    <col min="12297" max="12544" width="9.140625" style="1"/>
    <col min="12545" max="12545" width="7.7109375" style="1" customWidth="1"/>
    <col min="12546" max="12546" width="10.5703125" style="1" customWidth="1"/>
    <col min="12547" max="12547" width="11.140625" style="1" bestFit="1" customWidth="1"/>
    <col min="12548" max="12548" width="22.140625" style="1" bestFit="1" customWidth="1"/>
    <col min="12549" max="12549" width="12.28515625" style="1" customWidth="1"/>
    <col min="12550" max="12550" width="12.5703125" style="1" customWidth="1"/>
    <col min="12551" max="12551" width="12.140625" style="1" customWidth="1"/>
    <col min="12552" max="12552" width="19.7109375" style="1" customWidth="1"/>
    <col min="12553" max="12800" width="9.140625" style="1"/>
    <col min="12801" max="12801" width="7.7109375" style="1" customWidth="1"/>
    <col min="12802" max="12802" width="10.5703125" style="1" customWidth="1"/>
    <col min="12803" max="12803" width="11.140625" style="1" bestFit="1" customWidth="1"/>
    <col min="12804" max="12804" width="22.140625" style="1" bestFit="1" customWidth="1"/>
    <col min="12805" max="12805" width="12.28515625" style="1" customWidth="1"/>
    <col min="12806" max="12806" width="12.5703125" style="1" customWidth="1"/>
    <col min="12807" max="12807" width="12.140625" style="1" customWidth="1"/>
    <col min="12808" max="12808" width="19.7109375" style="1" customWidth="1"/>
    <col min="12809" max="13056" width="9.140625" style="1"/>
    <col min="13057" max="13057" width="7.7109375" style="1" customWidth="1"/>
    <col min="13058" max="13058" width="10.5703125" style="1" customWidth="1"/>
    <col min="13059" max="13059" width="11.140625" style="1" bestFit="1" customWidth="1"/>
    <col min="13060" max="13060" width="22.140625" style="1" bestFit="1" customWidth="1"/>
    <col min="13061" max="13061" width="12.28515625" style="1" customWidth="1"/>
    <col min="13062" max="13062" width="12.5703125" style="1" customWidth="1"/>
    <col min="13063" max="13063" width="12.140625" style="1" customWidth="1"/>
    <col min="13064" max="13064" width="19.7109375" style="1" customWidth="1"/>
    <col min="13065" max="13312" width="9.140625" style="1"/>
    <col min="13313" max="13313" width="7.7109375" style="1" customWidth="1"/>
    <col min="13314" max="13314" width="10.5703125" style="1" customWidth="1"/>
    <col min="13315" max="13315" width="11.140625" style="1" bestFit="1" customWidth="1"/>
    <col min="13316" max="13316" width="22.140625" style="1" bestFit="1" customWidth="1"/>
    <col min="13317" max="13317" width="12.28515625" style="1" customWidth="1"/>
    <col min="13318" max="13318" width="12.5703125" style="1" customWidth="1"/>
    <col min="13319" max="13319" width="12.140625" style="1" customWidth="1"/>
    <col min="13320" max="13320" width="19.7109375" style="1" customWidth="1"/>
    <col min="13321" max="13568" width="9.140625" style="1"/>
    <col min="13569" max="13569" width="7.7109375" style="1" customWidth="1"/>
    <col min="13570" max="13570" width="10.5703125" style="1" customWidth="1"/>
    <col min="13571" max="13571" width="11.140625" style="1" bestFit="1" customWidth="1"/>
    <col min="13572" max="13572" width="22.140625" style="1" bestFit="1" customWidth="1"/>
    <col min="13573" max="13573" width="12.28515625" style="1" customWidth="1"/>
    <col min="13574" max="13574" width="12.5703125" style="1" customWidth="1"/>
    <col min="13575" max="13575" width="12.140625" style="1" customWidth="1"/>
    <col min="13576" max="13576" width="19.7109375" style="1" customWidth="1"/>
    <col min="13577" max="13824" width="9.140625" style="1"/>
    <col min="13825" max="13825" width="7.7109375" style="1" customWidth="1"/>
    <col min="13826" max="13826" width="10.5703125" style="1" customWidth="1"/>
    <col min="13827" max="13827" width="11.140625" style="1" bestFit="1" customWidth="1"/>
    <col min="13828" max="13828" width="22.140625" style="1" bestFit="1" customWidth="1"/>
    <col min="13829" max="13829" width="12.28515625" style="1" customWidth="1"/>
    <col min="13830" max="13830" width="12.5703125" style="1" customWidth="1"/>
    <col min="13831" max="13831" width="12.140625" style="1" customWidth="1"/>
    <col min="13832" max="13832" width="19.7109375" style="1" customWidth="1"/>
    <col min="13833" max="14080" width="9.140625" style="1"/>
    <col min="14081" max="14081" width="7.7109375" style="1" customWidth="1"/>
    <col min="14082" max="14082" width="10.5703125" style="1" customWidth="1"/>
    <col min="14083" max="14083" width="11.140625" style="1" bestFit="1" customWidth="1"/>
    <col min="14084" max="14084" width="22.140625" style="1" bestFit="1" customWidth="1"/>
    <col min="14085" max="14085" width="12.28515625" style="1" customWidth="1"/>
    <col min="14086" max="14086" width="12.5703125" style="1" customWidth="1"/>
    <col min="14087" max="14087" width="12.140625" style="1" customWidth="1"/>
    <col min="14088" max="14088" width="19.7109375" style="1" customWidth="1"/>
    <col min="14089" max="14336" width="9.140625" style="1"/>
    <col min="14337" max="14337" width="7.7109375" style="1" customWidth="1"/>
    <col min="14338" max="14338" width="10.5703125" style="1" customWidth="1"/>
    <col min="14339" max="14339" width="11.140625" style="1" bestFit="1" customWidth="1"/>
    <col min="14340" max="14340" width="22.140625" style="1" bestFit="1" customWidth="1"/>
    <col min="14341" max="14341" width="12.28515625" style="1" customWidth="1"/>
    <col min="14342" max="14342" width="12.5703125" style="1" customWidth="1"/>
    <col min="14343" max="14343" width="12.140625" style="1" customWidth="1"/>
    <col min="14344" max="14344" width="19.7109375" style="1" customWidth="1"/>
    <col min="14345" max="14592" width="9.140625" style="1"/>
    <col min="14593" max="14593" width="7.7109375" style="1" customWidth="1"/>
    <col min="14594" max="14594" width="10.5703125" style="1" customWidth="1"/>
    <col min="14595" max="14595" width="11.140625" style="1" bestFit="1" customWidth="1"/>
    <col min="14596" max="14596" width="22.140625" style="1" bestFit="1" customWidth="1"/>
    <col min="14597" max="14597" width="12.28515625" style="1" customWidth="1"/>
    <col min="14598" max="14598" width="12.5703125" style="1" customWidth="1"/>
    <col min="14599" max="14599" width="12.140625" style="1" customWidth="1"/>
    <col min="14600" max="14600" width="19.7109375" style="1" customWidth="1"/>
    <col min="14601" max="14848" width="9.140625" style="1"/>
    <col min="14849" max="14849" width="7.7109375" style="1" customWidth="1"/>
    <col min="14850" max="14850" width="10.5703125" style="1" customWidth="1"/>
    <col min="14851" max="14851" width="11.140625" style="1" bestFit="1" customWidth="1"/>
    <col min="14852" max="14852" width="22.140625" style="1" bestFit="1" customWidth="1"/>
    <col min="14853" max="14853" width="12.28515625" style="1" customWidth="1"/>
    <col min="14854" max="14854" width="12.5703125" style="1" customWidth="1"/>
    <col min="14855" max="14855" width="12.140625" style="1" customWidth="1"/>
    <col min="14856" max="14856" width="19.7109375" style="1" customWidth="1"/>
    <col min="14857" max="15104" width="9.140625" style="1"/>
    <col min="15105" max="15105" width="7.7109375" style="1" customWidth="1"/>
    <col min="15106" max="15106" width="10.5703125" style="1" customWidth="1"/>
    <col min="15107" max="15107" width="11.140625" style="1" bestFit="1" customWidth="1"/>
    <col min="15108" max="15108" width="22.140625" style="1" bestFit="1" customWidth="1"/>
    <col min="15109" max="15109" width="12.28515625" style="1" customWidth="1"/>
    <col min="15110" max="15110" width="12.5703125" style="1" customWidth="1"/>
    <col min="15111" max="15111" width="12.140625" style="1" customWidth="1"/>
    <col min="15112" max="15112" width="19.7109375" style="1" customWidth="1"/>
    <col min="15113" max="15360" width="9.140625" style="1"/>
    <col min="15361" max="15361" width="7.7109375" style="1" customWidth="1"/>
    <col min="15362" max="15362" width="10.5703125" style="1" customWidth="1"/>
    <col min="15363" max="15363" width="11.140625" style="1" bestFit="1" customWidth="1"/>
    <col min="15364" max="15364" width="22.140625" style="1" bestFit="1" customWidth="1"/>
    <col min="15365" max="15365" width="12.28515625" style="1" customWidth="1"/>
    <col min="15366" max="15366" width="12.5703125" style="1" customWidth="1"/>
    <col min="15367" max="15367" width="12.140625" style="1" customWidth="1"/>
    <col min="15368" max="15368" width="19.7109375" style="1" customWidth="1"/>
    <col min="15369" max="15616" width="9.140625" style="1"/>
    <col min="15617" max="15617" width="7.7109375" style="1" customWidth="1"/>
    <col min="15618" max="15618" width="10.5703125" style="1" customWidth="1"/>
    <col min="15619" max="15619" width="11.140625" style="1" bestFit="1" customWidth="1"/>
    <col min="15620" max="15620" width="22.140625" style="1" bestFit="1" customWidth="1"/>
    <col min="15621" max="15621" width="12.28515625" style="1" customWidth="1"/>
    <col min="15622" max="15622" width="12.5703125" style="1" customWidth="1"/>
    <col min="15623" max="15623" width="12.140625" style="1" customWidth="1"/>
    <col min="15624" max="15624" width="19.7109375" style="1" customWidth="1"/>
    <col min="15625" max="15872" width="9.140625" style="1"/>
    <col min="15873" max="15873" width="7.7109375" style="1" customWidth="1"/>
    <col min="15874" max="15874" width="10.5703125" style="1" customWidth="1"/>
    <col min="15875" max="15875" width="11.140625" style="1" bestFit="1" customWidth="1"/>
    <col min="15876" max="15876" width="22.140625" style="1" bestFit="1" customWidth="1"/>
    <col min="15877" max="15877" width="12.28515625" style="1" customWidth="1"/>
    <col min="15878" max="15878" width="12.5703125" style="1" customWidth="1"/>
    <col min="15879" max="15879" width="12.140625" style="1" customWidth="1"/>
    <col min="15880" max="15880" width="19.7109375" style="1" customWidth="1"/>
    <col min="15881" max="16128" width="9.140625" style="1"/>
    <col min="16129" max="16129" width="7.7109375" style="1" customWidth="1"/>
    <col min="16130" max="16130" width="10.5703125" style="1" customWidth="1"/>
    <col min="16131" max="16131" width="11.140625" style="1" bestFit="1" customWidth="1"/>
    <col min="16132" max="16132" width="22.140625" style="1" bestFit="1" customWidth="1"/>
    <col min="16133" max="16133" width="12.28515625" style="1" customWidth="1"/>
    <col min="16134" max="16134" width="12.5703125" style="1" customWidth="1"/>
    <col min="16135" max="16135" width="12.140625" style="1" customWidth="1"/>
    <col min="16136" max="16136" width="19.7109375" style="1" customWidth="1"/>
    <col min="16137" max="16384" width="9.140625" style="1"/>
  </cols>
  <sheetData>
    <row r="1" spans="1:10" ht="54" customHeight="1">
      <c r="A1" s="2143"/>
      <c r="B1" s="2143"/>
      <c r="C1" s="162"/>
      <c r="D1" s="162"/>
      <c r="E1" s="162"/>
      <c r="F1" s="162"/>
      <c r="G1" s="339" t="s">
        <v>1063</v>
      </c>
    </row>
    <row r="2" spans="1:10">
      <c r="A2" s="101"/>
      <c r="B2" s="101"/>
      <c r="C2" s="101"/>
      <c r="D2" s="101"/>
      <c r="E2" s="101"/>
      <c r="F2" s="101"/>
      <c r="G2" s="101"/>
    </row>
    <row r="3" spans="1:10" ht="46.5" customHeight="1">
      <c r="A3" s="1980" t="s">
        <v>290</v>
      </c>
      <c r="B3" s="1980"/>
      <c r="C3" s="1980"/>
      <c r="D3" s="1980"/>
      <c r="E3" s="1980"/>
      <c r="F3" s="1980"/>
      <c r="G3" s="1980"/>
    </row>
    <row r="4" spans="1:10" ht="15">
      <c r="A4" s="184"/>
      <c r="B4" s="184"/>
      <c r="C4" s="184"/>
      <c r="D4" s="184"/>
      <c r="E4" s="184"/>
      <c r="F4" s="184"/>
      <c r="G4" s="5" t="s">
        <v>21</v>
      </c>
    </row>
    <row r="5" spans="1:10" s="374" customFormat="1" ht="20.100000000000001" customHeight="1" thickBot="1">
      <c r="A5" s="2098" t="s">
        <v>291</v>
      </c>
      <c r="B5" s="2098"/>
      <c r="C5" s="2098"/>
      <c r="D5" s="2098"/>
      <c r="E5" s="2098"/>
      <c r="F5" s="2098"/>
      <c r="G5" s="2098"/>
      <c r="H5" s="400"/>
      <c r="I5" s="401"/>
      <c r="J5" s="401"/>
    </row>
    <row r="6" spans="1:10" s="123" customFormat="1" ht="20.100000000000001" customHeight="1">
      <c r="A6" s="2099" t="s">
        <v>0</v>
      </c>
      <c r="B6" s="2101" t="s">
        <v>1</v>
      </c>
      <c r="C6" s="2101" t="s">
        <v>5</v>
      </c>
      <c r="D6" s="2103" t="s">
        <v>279</v>
      </c>
      <c r="E6" s="2101" t="s">
        <v>2</v>
      </c>
      <c r="F6" s="2101"/>
      <c r="G6" s="2105" t="s">
        <v>144</v>
      </c>
      <c r="H6" s="402"/>
      <c r="I6" s="403"/>
      <c r="J6" s="403"/>
    </row>
    <row r="7" spans="1:10" s="123" customFormat="1" ht="20.100000000000001" customHeight="1">
      <c r="A7" s="2100"/>
      <c r="B7" s="2102"/>
      <c r="C7" s="2102"/>
      <c r="D7" s="2104"/>
      <c r="E7" s="342" t="s">
        <v>20</v>
      </c>
      <c r="F7" s="342" t="s">
        <v>19</v>
      </c>
      <c r="G7" s="2106"/>
      <c r="H7" s="402"/>
      <c r="I7" s="403"/>
      <c r="J7" s="403"/>
    </row>
    <row r="8" spans="1:10" s="405" customFormat="1" ht="30" customHeight="1">
      <c r="A8" s="2144">
        <v>750</v>
      </c>
      <c r="B8" s="2145">
        <v>75095</v>
      </c>
      <c r="C8" s="204">
        <v>2008</v>
      </c>
      <c r="D8" s="344">
        <f>SUM(E8:F8)</f>
        <v>472600</v>
      </c>
      <c r="E8" s="387">
        <v>472600</v>
      </c>
      <c r="F8" s="344">
        <v>0</v>
      </c>
      <c r="G8" s="2146" t="s">
        <v>292</v>
      </c>
      <c r="H8" s="402"/>
      <c r="I8" s="404"/>
      <c r="J8" s="404"/>
    </row>
    <row r="9" spans="1:10" s="101" customFormat="1" ht="30" customHeight="1">
      <c r="A9" s="2144"/>
      <c r="B9" s="2145"/>
      <c r="C9" s="204">
        <v>2009</v>
      </c>
      <c r="D9" s="344">
        <f>SUM(E9:F9)</f>
        <v>83400</v>
      </c>
      <c r="E9" s="344">
        <v>83400</v>
      </c>
      <c r="F9" s="387">
        <v>0</v>
      </c>
      <c r="G9" s="2146"/>
      <c r="H9" s="392"/>
      <c r="I9" s="347"/>
      <c r="J9" s="347"/>
    </row>
    <row r="10" spans="1:10" ht="30" customHeight="1" thickBot="1">
      <c r="A10" s="2096" t="s">
        <v>22</v>
      </c>
      <c r="B10" s="2097"/>
      <c r="C10" s="2097"/>
      <c r="D10" s="348">
        <f>SUM(D8:D9)</f>
        <v>556000</v>
      </c>
      <c r="E10" s="348">
        <f>SUM(E8:E9)</f>
        <v>556000</v>
      </c>
      <c r="F10" s="348">
        <f>SUM(F8:F9)</f>
        <v>0</v>
      </c>
      <c r="G10" s="349"/>
    </row>
    <row r="11" spans="1:10" s="356" customFormat="1" ht="20.100000000000001" customHeight="1">
      <c r="A11" s="2147"/>
      <c r="B11" s="2147"/>
      <c r="C11" s="2147"/>
      <c r="D11" s="2147"/>
      <c r="E11" s="2147"/>
      <c r="F11" s="2147"/>
      <c r="G11" s="2147"/>
    </row>
    <row r="12" spans="1:10" s="372" customFormat="1" ht="20.100000000000001" customHeight="1">
      <c r="A12" s="2142"/>
      <c r="B12" s="2142"/>
      <c r="C12" s="2142"/>
      <c r="D12" s="2142"/>
      <c r="E12" s="2142"/>
      <c r="F12" s="2142"/>
      <c r="G12" s="2142"/>
    </row>
    <row r="13" spans="1:10" ht="20.100000000000001" customHeight="1">
      <c r="A13" s="2140"/>
      <c r="B13" s="2140"/>
      <c r="C13" s="2140"/>
      <c r="D13" s="2141"/>
      <c r="E13" s="2140"/>
      <c r="F13" s="2140"/>
      <c r="G13" s="2141"/>
    </row>
    <row r="14" spans="1:10" ht="20.100000000000001" customHeight="1">
      <c r="A14" s="2140"/>
      <c r="B14" s="2140"/>
      <c r="C14" s="2140"/>
      <c r="D14" s="2141"/>
      <c r="E14" s="406"/>
      <c r="F14" s="406"/>
      <c r="G14" s="2141"/>
    </row>
    <row r="15" spans="1:10" s="372" customFormat="1" ht="45" customHeight="1">
      <c r="A15" s="2137"/>
      <c r="B15" s="2137"/>
      <c r="C15" s="407"/>
      <c r="D15" s="408"/>
      <c r="E15" s="409"/>
      <c r="F15" s="408"/>
      <c r="G15" s="2138"/>
    </row>
    <row r="16" spans="1:10" s="101" customFormat="1" ht="45" customHeight="1">
      <c r="A16" s="2137"/>
      <c r="B16" s="2137"/>
      <c r="C16" s="407"/>
      <c r="D16" s="408"/>
      <c r="E16" s="408"/>
      <c r="F16" s="409"/>
      <c r="G16" s="2138"/>
    </row>
    <row r="17" spans="1:7" ht="20.100000000000001" customHeight="1">
      <c r="A17" s="2139"/>
      <c r="B17" s="2139"/>
      <c r="C17" s="2139"/>
      <c r="D17" s="410"/>
      <c r="E17" s="410"/>
      <c r="F17" s="410"/>
      <c r="G17" s="411"/>
    </row>
    <row r="18" spans="1:7">
      <c r="A18" s="365"/>
      <c r="B18" s="365"/>
      <c r="C18" s="365"/>
      <c r="D18" s="365"/>
      <c r="E18" s="365"/>
      <c r="F18" s="365"/>
      <c r="G18" s="365"/>
    </row>
    <row r="19" spans="1:7">
      <c r="A19" s="365"/>
      <c r="B19" s="365"/>
      <c r="C19" s="365"/>
      <c r="D19" s="359"/>
      <c r="E19" s="359"/>
      <c r="F19" s="359"/>
      <c r="G19" s="365"/>
    </row>
    <row r="20" spans="1:7">
      <c r="A20" s="365"/>
      <c r="B20" s="365"/>
      <c r="C20" s="365"/>
      <c r="D20" s="365"/>
      <c r="E20" s="365"/>
      <c r="F20" s="365"/>
      <c r="G20" s="365"/>
    </row>
  </sheetData>
  <mergeCells count="25">
    <mergeCell ref="A12:G12"/>
    <mergeCell ref="A1:B1"/>
    <mergeCell ref="A3:G3"/>
    <mergeCell ref="A5:G5"/>
    <mergeCell ref="A6:A7"/>
    <mergeCell ref="B6:B7"/>
    <mergeCell ref="C6:C7"/>
    <mergeCell ref="D6:D7"/>
    <mergeCell ref="E6:F6"/>
    <mergeCell ref="G6:G7"/>
    <mergeCell ref="A8:A9"/>
    <mergeCell ref="B8:B9"/>
    <mergeCell ref="G8:G9"/>
    <mergeCell ref="A10:C10"/>
    <mergeCell ref="A11:G11"/>
    <mergeCell ref="A15:A16"/>
    <mergeCell ref="B15:B16"/>
    <mergeCell ref="G15:G16"/>
    <mergeCell ref="A17:C17"/>
    <mergeCell ref="A13:A14"/>
    <mergeCell ref="B13:B14"/>
    <mergeCell ref="C13:C14"/>
    <mergeCell ref="D13:D14"/>
    <mergeCell ref="E13:F13"/>
    <mergeCell ref="G13:G14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90" orientation="landscape" r:id="rId1"/>
  <headerFooter alignWithMargins="0">
    <oddFooter>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H270"/>
  <sheetViews>
    <sheetView view="pageBreakPreview" zoomScale="120" zoomScaleNormal="100" zoomScaleSheetLayoutView="120" workbookViewId="0">
      <selection activeCell="D1" sqref="D1:E1"/>
    </sheetView>
  </sheetViews>
  <sheetFormatPr defaultRowHeight="12.75"/>
  <cols>
    <col min="1" max="1" width="6.140625" style="193" customWidth="1"/>
    <col min="2" max="3" width="8.85546875" style="193" customWidth="1"/>
    <col min="4" max="4" width="43.42578125" style="193" customWidth="1"/>
    <col min="5" max="5" width="11.28515625" style="193" customWidth="1"/>
    <col min="6" max="6" width="11.5703125" style="193" customWidth="1"/>
    <col min="7" max="7" width="9.140625" style="193"/>
    <col min="8" max="8" width="8.85546875" style="194" customWidth="1"/>
    <col min="9" max="16384" width="9.140625" style="193"/>
  </cols>
  <sheetData>
    <row r="1" spans="1:8" ht="65.25" customHeight="1">
      <c r="A1" s="35"/>
      <c r="B1" s="35"/>
      <c r="C1" s="192"/>
      <c r="D1" s="1789" t="s">
        <v>1064</v>
      </c>
      <c r="E1" s="2164"/>
    </row>
    <row r="2" spans="1:8" ht="69" customHeight="1">
      <c r="A2" s="1919" t="s">
        <v>216</v>
      </c>
      <c r="B2" s="1919"/>
      <c r="C2" s="1919"/>
      <c r="D2" s="1919"/>
      <c r="E2" s="1919"/>
      <c r="F2" s="195"/>
      <c r="G2" s="195"/>
    </row>
    <row r="3" spans="1:8" s="162" customFormat="1" hidden="1">
      <c r="A3" s="182"/>
      <c r="B3" s="182"/>
      <c r="C3" s="182"/>
      <c r="D3" s="182"/>
      <c r="E3" s="196"/>
      <c r="H3" s="197"/>
    </row>
    <row r="4" spans="1:8" ht="36.75" customHeight="1">
      <c r="A4" s="2165" t="s">
        <v>217</v>
      </c>
      <c r="B4" s="2166"/>
      <c r="C4" s="2166"/>
      <c r="D4" s="2166"/>
      <c r="E4" s="2167"/>
    </row>
    <row r="5" spans="1:8" ht="15.75" customHeight="1" thickBot="1">
      <c r="A5" s="2168" t="s">
        <v>21</v>
      </c>
      <c r="B5" s="2168"/>
      <c r="C5" s="2168"/>
      <c r="D5" s="2168"/>
      <c r="E5" s="2168"/>
    </row>
    <row r="6" spans="1:8" ht="18.75" customHeight="1" thickBot="1">
      <c r="A6" s="198" t="s">
        <v>0</v>
      </c>
      <c r="B6" s="199" t="s">
        <v>1</v>
      </c>
      <c r="C6" s="199" t="s">
        <v>5</v>
      </c>
      <c r="D6" s="199" t="s">
        <v>64</v>
      </c>
      <c r="E6" s="200" t="s">
        <v>76</v>
      </c>
    </row>
    <row r="7" spans="1:8" ht="23.25" customHeight="1">
      <c r="A7" s="2169" t="s">
        <v>116</v>
      </c>
      <c r="B7" s="2170"/>
      <c r="C7" s="2170"/>
      <c r="D7" s="201" t="s">
        <v>218</v>
      </c>
      <c r="E7" s="202">
        <f>SUM(E8,E11)</f>
        <v>7462000</v>
      </c>
      <c r="G7" s="194"/>
    </row>
    <row r="8" spans="1:8">
      <c r="A8" s="2162"/>
      <c r="B8" s="2153" t="s">
        <v>219</v>
      </c>
      <c r="C8" s="2158" t="s">
        <v>220</v>
      </c>
      <c r="D8" s="2158"/>
      <c r="E8" s="203">
        <f>SUM(E9:E10)</f>
        <v>7368000</v>
      </c>
      <c r="G8" s="194"/>
    </row>
    <row r="9" spans="1:8">
      <c r="A9" s="2162"/>
      <c r="B9" s="2153"/>
      <c r="C9" s="204">
        <v>2210</v>
      </c>
      <c r="D9" s="205"/>
      <c r="E9" s="206">
        <v>4350000</v>
      </c>
      <c r="G9" s="194"/>
    </row>
    <row r="10" spans="1:8">
      <c r="A10" s="2162"/>
      <c r="B10" s="2153"/>
      <c r="C10" s="204">
        <v>6510</v>
      </c>
      <c r="D10" s="205"/>
      <c r="E10" s="206">
        <v>3018000</v>
      </c>
    </row>
    <row r="11" spans="1:8" s="194" customFormat="1">
      <c r="A11" s="2162"/>
      <c r="B11" s="2153" t="s">
        <v>118</v>
      </c>
      <c r="C11" s="2158" t="s">
        <v>213</v>
      </c>
      <c r="D11" s="2158"/>
      <c r="E11" s="203">
        <f>SUM(E12)</f>
        <v>94000</v>
      </c>
      <c r="F11" s="193"/>
      <c r="G11" s="193"/>
    </row>
    <row r="12" spans="1:8" s="194" customFormat="1">
      <c r="A12" s="2163"/>
      <c r="B12" s="2153"/>
      <c r="C12" s="204">
        <v>2210</v>
      </c>
      <c r="D12" s="207"/>
      <c r="E12" s="206">
        <v>94000</v>
      </c>
      <c r="F12" s="193"/>
      <c r="G12" s="193"/>
    </row>
    <row r="13" spans="1:8" s="194" customFormat="1" ht="23.25" customHeight="1">
      <c r="A13" s="2151" t="s">
        <v>7</v>
      </c>
      <c r="B13" s="2156"/>
      <c r="C13" s="2156"/>
      <c r="D13" s="208" t="s">
        <v>141</v>
      </c>
      <c r="E13" s="209">
        <f>E14+E16</f>
        <v>57149000</v>
      </c>
      <c r="F13" s="193"/>
    </row>
    <row r="14" spans="1:8" s="194" customFormat="1">
      <c r="A14" s="2151"/>
      <c r="B14" s="2153" t="s">
        <v>8</v>
      </c>
      <c r="C14" s="2158" t="s">
        <v>221</v>
      </c>
      <c r="D14" s="2158"/>
      <c r="E14" s="203">
        <f>SUM(E15)</f>
        <v>57000000</v>
      </c>
      <c r="F14" s="193"/>
      <c r="G14" s="193"/>
    </row>
    <row r="15" spans="1:8" s="194" customFormat="1">
      <c r="A15" s="2151"/>
      <c r="B15" s="2153"/>
      <c r="C15" s="204">
        <v>2210</v>
      </c>
      <c r="D15" s="207"/>
      <c r="E15" s="206">
        <v>57000000</v>
      </c>
      <c r="F15" s="193"/>
      <c r="G15" s="193"/>
    </row>
    <row r="16" spans="1:8" s="194" customFormat="1">
      <c r="A16" s="2151"/>
      <c r="B16" s="2153" t="s">
        <v>222</v>
      </c>
      <c r="C16" s="2158" t="s">
        <v>213</v>
      </c>
      <c r="D16" s="2158"/>
      <c r="E16" s="203">
        <f>SUM(E17)</f>
        <v>149000</v>
      </c>
      <c r="F16" s="193"/>
      <c r="G16" s="193"/>
    </row>
    <row r="17" spans="1:7" s="194" customFormat="1">
      <c r="A17" s="2151"/>
      <c r="B17" s="2153"/>
      <c r="C17" s="204">
        <v>2210</v>
      </c>
      <c r="D17" s="207"/>
      <c r="E17" s="206">
        <v>149000</v>
      </c>
      <c r="F17" s="193"/>
      <c r="G17" s="193"/>
    </row>
    <row r="18" spans="1:7" s="194" customFormat="1" ht="23.25" customHeight="1">
      <c r="A18" s="2161" t="s">
        <v>121</v>
      </c>
      <c r="B18" s="2156"/>
      <c r="C18" s="2156"/>
      <c r="D18" s="208" t="s">
        <v>223</v>
      </c>
      <c r="E18" s="209">
        <f>E19</f>
        <v>34000</v>
      </c>
      <c r="F18" s="193"/>
    </row>
    <row r="19" spans="1:7" s="194" customFormat="1">
      <c r="A19" s="2162"/>
      <c r="B19" s="2153" t="s">
        <v>224</v>
      </c>
      <c r="C19" s="2158" t="s">
        <v>213</v>
      </c>
      <c r="D19" s="2158"/>
      <c r="E19" s="203">
        <f>SUM(E20)</f>
        <v>34000</v>
      </c>
      <c r="F19" s="193"/>
      <c r="G19" s="193"/>
    </row>
    <row r="20" spans="1:7" s="194" customFormat="1">
      <c r="A20" s="2163"/>
      <c r="B20" s="2153"/>
      <c r="C20" s="204">
        <v>2210</v>
      </c>
      <c r="D20" s="207"/>
      <c r="E20" s="206">
        <v>34000</v>
      </c>
      <c r="F20" s="193"/>
      <c r="G20" s="193"/>
    </row>
    <row r="21" spans="1:7" s="194" customFormat="1" ht="24" customHeight="1">
      <c r="A21" s="2151" t="s">
        <v>225</v>
      </c>
      <c r="B21" s="2159"/>
      <c r="C21" s="2159"/>
      <c r="D21" s="210" t="s">
        <v>226</v>
      </c>
      <c r="E21" s="209">
        <f>SUM(E22,E24)</f>
        <v>575000</v>
      </c>
      <c r="F21" s="193"/>
      <c r="G21" s="193"/>
    </row>
    <row r="22" spans="1:7" s="194" customFormat="1">
      <c r="A22" s="2151"/>
      <c r="B22" s="2153" t="s">
        <v>227</v>
      </c>
      <c r="C22" s="2158" t="s">
        <v>228</v>
      </c>
      <c r="D22" s="2158"/>
      <c r="E22" s="203">
        <f>SUM(E23)</f>
        <v>475000</v>
      </c>
      <c r="F22" s="193"/>
      <c r="G22" s="193"/>
    </row>
    <row r="23" spans="1:7" s="194" customFormat="1">
      <c r="A23" s="2151"/>
      <c r="B23" s="2153"/>
      <c r="C23" s="204">
        <v>2210</v>
      </c>
      <c r="D23" s="211"/>
      <c r="E23" s="206">
        <v>475000</v>
      </c>
      <c r="F23" s="193"/>
      <c r="G23" s="193"/>
    </row>
    <row r="24" spans="1:7" s="194" customFormat="1">
      <c r="A24" s="2151"/>
      <c r="B24" s="2153" t="s">
        <v>229</v>
      </c>
      <c r="C24" s="2158" t="s">
        <v>213</v>
      </c>
      <c r="D24" s="2158"/>
      <c r="E24" s="203">
        <f>SUM(E25)</f>
        <v>100000</v>
      </c>
      <c r="F24" s="193"/>
      <c r="G24" s="193"/>
    </row>
    <row r="25" spans="1:7" s="194" customFormat="1">
      <c r="A25" s="2151"/>
      <c r="B25" s="2153"/>
      <c r="C25" s="204">
        <v>2210</v>
      </c>
      <c r="D25" s="211"/>
      <c r="E25" s="206">
        <v>100000</v>
      </c>
      <c r="F25" s="193"/>
      <c r="G25" s="193"/>
    </row>
    <row r="26" spans="1:7" s="194" customFormat="1" ht="24" customHeight="1">
      <c r="A26" s="2151" t="s">
        <v>4</v>
      </c>
      <c r="B26" s="2156"/>
      <c r="C26" s="2156"/>
      <c r="D26" s="208" t="s">
        <v>18</v>
      </c>
      <c r="E26" s="209">
        <f>SUM(E27,E29,E31)</f>
        <v>365000</v>
      </c>
      <c r="F26" s="193"/>
      <c r="G26" s="193"/>
    </row>
    <row r="27" spans="1:7" s="194" customFormat="1">
      <c r="A27" s="2151"/>
      <c r="B27" s="2153" t="s">
        <v>230</v>
      </c>
      <c r="C27" s="2158" t="s">
        <v>231</v>
      </c>
      <c r="D27" s="2158"/>
      <c r="E27" s="203">
        <f>SUM(E28)</f>
        <v>145000</v>
      </c>
      <c r="F27" s="193"/>
      <c r="G27" s="193"/>
    </row>
    <row r="28" spans="1:7" s="194" customFormat="1">
      <c r="A28" s="2151"/>
      <c r="B28" s="2153"/>
      <c r="C28" s="204">
        <v>2210</v>
      </c>
      <c r="D28" s="211"/>
      <c r="E28" s="206">
        <v>145000</v>
      </c>
      <c r="F28" s="193"/>
      <c r="G28" s="193"/>
    </row>
    <row r="29" spans="1:7" s="194" customFormat="1">
      <c r="A29" s="2151"/>
      <c r="B29" s="2153" t="s">
        <v>232</v>
      </c>
      <c r="C29" s="2158" t="s">
        <v>233</v>
      </c>
      <c r="D29" s="2158"/>
      <c r="E29" s="203">
        <f>SUM(E30)</f>
        <v>20000</v>
      </c>
      <c r="F29" s="193"/>
      <c r="G29" s="193"/>
    </row>
    <row r="30" spans="1:7" s="194" customFormat="1">
      <c r="A30" s="2151"/>
      <c r="B30" s="2153"/>
      <c r="C30" s="204">
        <v>2210</v>
      </c>
      <c r="D30" s="211"/>
      <c r="E30" s="206">
        <v>20000</v>
      </c>
      <c r="F30" s="193"/>
      <c r="G30" s="193"/>
    </row>
    <row r="31" spans="1:7" s="194" customFormat="1">
      <c r="A31" s="2151"/>
      <c r="B31" s="2153" t="s">
        <v>234</v>
      </c>
      <c r="C31" s="2158" t="s">
        <v>235</v>
      </c>
      <c r="D31" s="2158"/>
      <c r="E31" s="203">
        <f>SUM(E32)</f>
        <v>200000</v>
      </c>
      <c r="F31" s="193"/>
      <c r="G31" s="193"/>
    </row>
    <row r="32" spans="1:7" s="194" customFormat="1">
      <c r="A32" s="2151"/>
      <c r="B32" s="2153"/>
      <c r="C32" s="204">
        <v>2210</v>
      </c>
      <c r="D32" s="211"/>
      <c r="E32" s="206">
        <v>200000</v>
      </c>
      <c r="F32" s="193"/>
      <c r="G32" s="193"/>
    </row>
    <row r="33" spans="1:7" s="194" customFormat="1" ht="24" customHeight="1">
      <c r="A33" s="2151" t="s">
        <v>127</v>
      </c>
      <c r="B33" s="2159"/>
      <c r="C33" s="2159"/>
      <c r="D33" s="210" t="s">
        <v>236</v>
      </c>
      <c r="E33" s="209">
        <f>SUM(E36,E38,E34)</f>
        <v>97000</v>
      </c>
      <c r="G33" s="193"/>
    </row>
    <row r="34" spans="1:7" s="194" customFormat="1">
      <c r="A34" s="2151"/>
      <c r="B34" s="2153" t="s">
        <v>237</v>
      </c>
      <c r="C34" s="2160" t="s">
        <v>238</v>
      </c>
      <c r="D34" s="2158"/>
      <c r="E34" s="203">
        <f>SUM(E35)</f>
        <v>40000</v>
      </c>
      <c r="F34" s="193"/>
      <c r="G34" s="193"/>
    </row>
    <row r="35" spans="1:7" s="194" customFormat="1">
      <c r="A35" s="2151"/>
      <c r="B35" s="2153"/>
      <c r="C35" s="204">
        <v>6510</v>
      </c>
      <c r="D35" s="207"/>
      <c r="E35" s="206">
        <v>40000</v>
      </c>
      <c r="F35" s="193"/>
      <c r="G35" s="193"/>
    </row>
    <row r="36" spans="1:7" s="194" customFormat="1" ht="37.5" customHeight="1">
      <c r="A36" s="2151"/>
      <c r="B36" s="2153" t="s">
        <v>239</v>
      </c>
      <c r="C36" s="2160" t="s">
        <v>240</v>
      </c>
      <c r="D36" s="2158"/>
      <c r="E36" s="203">
        <f>SUM(E37)</f>
        <v>27000</v>
      </c>
      <c r="F36" s="193"/>
      <c r="G36" s="193"/>
    </row>
    <row r="37" spans="1:7" s="194" customFormat="1">
      <c r="A37" s="2151"/>
      <c r="B37" s="2153"/>
      <c r="C37" s="204">
        <v>2210</v>
      </c>
      <c r="D37" s="207"/>
      <c r="E37" s="206">
        <v>27000</v>
      </c>
      <c r="F37" s="193"/>
      <c r="G37" s="193"/>
    </row>
    <row r="38" spans="1:7" s="194" customFormat="1">
      <c r="A38" s="2151"/>
      <c r="B38" s="2153" t="s">
        <v>241</v>
      </c>
      <c r="C38" s="2160" t="s">
        <v>213</v>
      </c>
      <c r="D38" s="2158"/>
      <c r="E38" s="203">
        <f>SUM(E39)</f>
        <v>30000</v>
      </c>
      <c r="F38" s="193"/>
      <c r="G38" s="193"/>
    </row>
    <row r="39" spans="1:7" s="194" customFormat="1">
      <c r="A39" s="2151"/>
      <c r="B39" s="2153"/>
      <c r="C39" s="204">
        <v>2210</v>
      </c>
      <c r="D39" s="211"/>
      <c r="E39" s="206">
        <v>30000</v>
      </c>
      <c r="F39" s="193"/>
      <c r="G39" s="193"/>
    </row>
    <row r="40" spans="1:7" s="194" customFormat="1" ht="27" customHeight="1">
      <c r="A40" s="2151" t="s">
        <v>133</v>
      </c>
      <c r="B40" s="2152"/>
      <c r="C40" s="2152"/>
      <c r="D40" s="212" t="s">
        <v>242</v>
      </c>
      <c r="E40" s="209">
        <f>SUM(E41)</f>
        <v>2000</v>
      </c>
      <c r="F40" s="193"/>
      <c r="G40" s="193"/>
    </row>
    <row r="41" spans="1:7" s="194" customFormat="1">
      <c r="A41" s="2151"/>
      <c r="B41" s="2153" t="s">
        <v>243</v>
      </c>
      <c r="C41" s="2154" t="s">
        <v>244</v>
      </c>
      <c r="D41" s="2154"/>
      <c r="E41" s="203">
        <f>SUM(E42)</f>
        <v>2000</v>
      </c>
      <c r="F41" s="193"/>
      <c r="G41" s="193"/>
    </row>
    <row r="42" spans="1:7" s="194" customFormat="1">
      <c r="A42" s="2151"/>
      <c r="B42" s="2153"/>
      <c r="C42" s="204">
        <v>2210</v>
      </c>
      <c r="D42" s="211"/>
      <c r="E42" s="206">
        <v>2000</v>
      </c>
      <c r="F42" s="193"/>
      <c r="G42" s="193"/>
    </row>
    <row r="43" spans="1:7" s="194" customFormat="1" ht="23.25" customHeight="1">
      <c r="A43" s="2151" t="s">
        <v>174</v>
      </c>
      <c r="B43" s="2156"/>
      <c r="C43" s="2156"/>
      <c r="D43" s="208" t="s">
        <v>181</v>
      </c>
      <c r="E43" s="209">
        <f>SUM(E44)</f>
        <v>750000</v>
      </c>
      <c r="F43" s="193"/>
    </row>
    <row r="44" spans="1:7" s="194" customFormat="1">
      <c r="A44" s="2151"/>
      <c r="B44" s="2153" t="s">
        <v>245</v>
      </c>
      <c r="C44" s="2158" t="s">
        <v>246</v>
      </c>
      <c r="D44" s="2158"/>
      <c r="E44" s="203">
        <f>SUM(E45)</f>
        <v>750000</v>
      </c>
      <c r="F44" s="193"/>
      <c r="G44" s="193"/>
    </row>
    <row r="45" spans="1:7" s="194" customFormat="1" ht="13.5" thickBot="1">
      <c r="A45" s="2155"/>
      <c r="B45" s="2157"/>
      <c r="C45" s="213">
        <v>2210</v>
      </c>
      <c r="D45" s="214"/>
      <c r="E45" s="215">
        <v>750000</v>
      </c>
      <c r="F45" s="193"/>
      <c r="G45" s="193"/>
    </row>
    <row r="46" spans="1:7" s="194" customFormat="1" ht="30" customHeight="1" thickBot="1">
      <c r="A46" s="2148" t="s">
        <v>16</v>
      </c>
      <c r="B46" s="2149"/>
      <c r="C46" s="2149"/>
      <c r="D46" s="2150"/>
      <c r="E46" s="216">
        <f>SUM(E43,E40,E33,E26,E21,E13,E7,E18)</f>
        <v>66434000</v>
      </c>
      <c r="F46" s="193"/>
    </row>
    <row r="47" spans="1:7" s="194" customFormat="1">
      <c r="A47" s="110"/>
      <c r="B47" s="110"/>
      <c r="C47" s="162"/>
      <c r="D47" s="162"/>
      <c r="E47" s="111"/>
      <c r="F47" s="193"/>
      <c r="G47" s="193"/>
    </row>
    <row r="48" spans="1:7" s="194" customFormat="1">
      <c r="A48" s="110"/>
      <c r="B48" s="110"/>
      <c r="C48" s="162"/>
      <c r="D48" s="162"/>
      <c r="E48" s="111"/>
      <c r="F48" s="193"/>
      <c r="G48" s="193"/>
    </row>
    <row r="49" spans="1:7" s="194" customFormat="1">
      <c r="A49" s="110"/>
      <c r="B49" s="110"/>
      <c r="C49" s="162"/>
      <c r="D49" s="162"/>
      <c r="E49" s="111"/>
      <c r="F49" s="193"/>
      <c r="G49" s="193"/>
    </row>
    <row r="50" spans="1:7" s="194" customFormat="1" ht="12.75" customHeight="1">
      <c r="A50" s="110"/>
      <c r="B50" s="110"/>
      <c r="C50" s="162"/>
      <c r="D50" s="162"/>
      <c r="E50" s="111"/>
      <c r="F50" s="193"/>
      <c r="G50" s="193"/>
    </row>
    <row r="51" spans="1:7" s="194" customFormat="1">
      <c r="A51" s="110"/>
      <c r="B51" s="110"/>
      <c r="C51" s="162"/>
      <c r="D51" s="162"/>
      <c r="E51" s="111"/>
      <c r="F51" s="193"/>
      <c r="G51" s="193"/>
    </row>
    <row r="52" spans="1:7" s="194" customFormat="1">
      <c r="A52" s="110"/>
      <c r="B52" s="110"/>
      <c r="C52" s="162"/>
      <c r="D52" s="162"/>
      <c r="E52" s="111"/>
      <c r="F52" s="193"/>
      <c r="G52" s="193"/>
    </row>
    <row r="53" spans="1:7" s="194" customFormat="1">
      <c r="A53" s="110"/>
      <c r="B53" s="110"/>
      <c r="C53" s="162"/>
      <c r="D53" s="162"/>
      <c r="E53" s="111"/>
      <c r="F53" s="193"/>
      <c r="G53" s="193"/>
    </row>
    <row r="54" spans="1:7" s="194" customFormat="1">
      <c r="A54" s="110"/>
      <c r="B54" s="110"/>
      <c r="C54" s="162"/>
      <c r="D54" s="162"/>
      <c r="E54" s="111"/>
      <c r="F54" s="193"/>
      <c r="G54" s="193"/>
    </row>
    <row r="55" spans="1:7" s="194" customFormat="1">
      <c r="A55" s="110"/>
      <c r="B55" s="110"/>
      <c r="C55" s="162"/>
      <c r="D55" s="162"/>
      <c r="E55" s="111"/>
      <c r="F55" s="193"/>
      <c r="G55" s="193"/>
    </row>
    <row r="56" spans="1:7" s="194" customFormat="1">
      <c r="A56" s="110"/>
      <c r="B56" s="110"/>
      <c r="C56" s="162"/>
      <c r="D56" s="162"/>
      <c r="E56" s="111"/>
      <c r="F56" s="193"/>
      <c r="G56" s="193"/>
    </row>
    <row r="57" spans="1:7" s="194" customFormat="1">
      <c r="A57" s="110"/>
      <c r="B57" s="110"/>
      <c r="C57" s="162"/>
      <c r="D57" s="162"/>
      <c r="E57" s="111"/>
      <c r="F57" s="193"/>
      <c r="G57" s="193"/>
    </row>
    <row r="58" spans="1:7" s="194" customFormat="1">
      <c r="A58" s="162"/>
      <c r="B58" s="110"/>
      <c r="C58" s="162"/>
      <c r="D58" s="162"/>
      <c r="E58" s="111"/>
      <c r="F58" s="193"/>
      <c r="G58" s="193"/>
    </row>
    <row r="59" spans="1:7" s="194" customFormat="1">
      <c r="A59" s="162"/>
      <c r="B59" s="110"/>
      <c r="C59" s="162"/>
      <c r="D59" s="162"/>
      <c r="E59" s="111"/>
      <c r="F59" s="193"/>
      <c r="G59" s="193"/>
    </row>
    <row r="60" spans="1:7" s="194" customFormat="1">
      <c r="A60" s="162"/>
      <c r="B60" s="110"/>
      <c r="C60" s="162"/>
      <c r="D60" s="162"/>
      <c r="E60" s="111"/>
      <c r="F60" s="193"/>
      <c r="G60" s="193"/>
    </row>
    <row r="61" spans="1:7" s="194" customFormat="1">
      <c r="A61" s="162"/>
      <c r="B61" s="110"/>
      <c r="C61" s="162"/>
      <c r="D61" s="162"/>
      <c r="E61" s="111"/>
      <c r="F61" s="193"/>
      <c r="G61" s="193"/>
    </row>
    <row r="62" spans="1:7" s="194" customFormat="1">
      <c r="A62" s="162"/>
      <c r="B62" s="110"/>
      <c r="C62" s="162"/>
      <c r="D62" s="162"/>
      <c r="E62" s="111"/>
      <c r="F62" s="193"/>
      <c r="G62" s="193"/>
    </row>
    <row r="63" spans="1:7" s="194" customFormat="1">
      <c r="A63" s="162"/>
      <c r="B63" s="110"/>
      <c r="C63" s="162"/>
      <c r="D63" s="162"/>
      <c r="E63" s="111"/>
      <c r="F63" s="193"/>
      <c r="G63" s="193"/>
    </row>
    <row r="64" spans="1:7" s="194" customFormat="1">
      <c r="A64" s="162"/>
      <c r="B64" s="110"/>
      <c r="C64" s="162"/>
      <c r="D64" s="162"/>
      <c r="E64" s="111"/>
      <c r="F64" s="193"/>
      <c r="G64" s="193"/>
    </row>
    <row r="65" spans="1:7" s="194" customFormat="1">
      <c r="A65" s="162"/>
      <c r="B65" s="110"/>
      <c r="C65" s="162"/>
      <c r="D65" s="162"/>
      <c r="E65" s="111"/>
      <c r="F65" s="193"/>
      <c r="G65" s="193"/>
    </row>
    <row r="66" spans="1:7" s="194" customFormat="1">
      <c r="A66" s="162"/>
      <c r="B66" s="110"/>
      <c r="C66" s="162"/>
      <c r="D66" s="162"/>
      <c r="E66" s="111"/>
      <c r="F66" s="193"/>
      <c r="G66" s="193"/>
    </row>
    <row r="67" spans="1:7" s="194" customFormat="1">
      <c r="A67" s="162"/>
      <c r="B67" s="110"/>
      <c r="C67" s="162"/>
      <c r="D67" s="162"/>
      <c r="E67" s="111"/>
      <c r="F67" s="193"/>
      <c r="G67" s="193"/>
    </row>
    <row r="68" spans="1:7" s="194" customFormat="1">
      <c r="A68" s="162"/>
      <c r="B68" s="110"/>
      <c r="C68" s="162"/>
      <c r="D68" s="162"/>
      <c r="E68" s="111"/>
      <c r="F68" s="193"/>
      <c r="G68" s="193"/>
    </row>
    <row r="69" spans="1:7" s="194" customFormat="1">
      <c r="A69" s="162"/>
      <c r="B69" s="110"/>
      <c r="C69" s="162"/>
      <c r="D69" s="162"/>
      <c r="E69" s="111"/>
      <c r="F69" s="193"/>
      <c r="G69" s="193"/>
    </row>
    <row r="70" spans="1:7" s="194" customFormat="1">
      <c r="A70" s="162"/>
      <c r="B70" s="110"/>
      <c r="C70" s="162"/>
      <c r="D70" s="162"/>
      <c r="E70" s="111"/>
      <c r="F70" s="193"/>
      <c r="G70" s="193"/>
    </row>
    <row r="71" spans="1:7" s="194" customFormat="1">
      <c r="A71" s="162"/>
      <c r="B71" s="110"/>
      <c r="C71" s="162"/>
      <c r="D71" s="162"/>
      <c r="E71" s="111"/>
      <c r="F71" s="193"/>
      <c r="G71" s="193"/>
    </row>
    <row r="72" spans="1:7" s="194" customFormat="1">
      <c r="A72" s="193"/>
      <c r="B72" s="110"/>
      <c r="C72" s="162"/>
      <c r="D72" s="162"/>
      <c r="E72" s="111"/>
      <c r="F72" s="193"/>
      <c r="G72" s="193"/>
    </row>
    <row r="73" spans="1:7" s="194" customFormat="1">
      <c r="A73" s="193"/>
      <c r="B73" s="110"/>
      <c r="C73" s="162"/>
      <c r="D73" s="162"/>
      <c r="E73" s="111"/>
      <c r="F73" s="193"/>
      <c r="G73" s="193"/>
    </row>
    <row r="74" spans="1:7" s="194" customFormat="1">
      <c r="A74" s="193"/>
      <c r="B74" s="217"/>
      <c r="C74" s="193"/>
      <c r="D74" s="193"/>
      <c r="E74" s="218"/>
      <c r="F74" s="193"/>
      <c r="G74" s="193"/>
    </row>
    <row r="75" spans="1:7" s="194" customFormat="1">
      <c r="A75" s="193"/>
      <c r="B75" s="217"/>
      <c r="C75" s="193"/>
      <c r="D75" s="193"/>
      <c r="E75" s="218"/>
      <c r="F75" s="193"/>
      <c r="G75" s="193"/>
    </row>
    <row r="76" spans="1:7" s="194" customFormat="1">
      <c r="A76" s="193"/>
      <c r="B76" s="217"/>
      <c r="C76" s="193"/>
      <c r="D76" s="193"/>
      <c r="E76" s="218"/>
      <c r="F76" s="193"/>
      <c r="G76" s="193"/>
    </row>
    <row r="77" spans="1:7" s="194" customFormat="1">
      <c r="A77" s="193"/>
      <c r="B77" s="217"/>
      <c r="C77" s="193"/>
      <c r="D77" s="193"/>
      <c r="E77" s="218"/>
      <c r="F77" s="193"/>
      <c r="G77" s="193"/>
    </row>
    <row r="78" spans="1:7">
      <c r="B78" s="217"/>
      <c r="E78" s="218"/>
    </row>
    <row r="79" spans="1:7">
      <c r="B79" s="217"/>
      <c r="E79" s="218"/>
    </row>
    <row r="80" spans="1:7">
      <c r="B80" s="217"/>
      <c r="E80" s="218"/>
    </row>
    <row r="81" spans="2:5">
      <c r="B81" s="217"/>
      <c r="E81" s="218"/>
    </row>
    <row r="82" spans="2:5">
      <c r="B82" s="217"/>
      <c r="E82" s="218"/>
    </row>
    <row r="83" spans="2:5">
      <c r="B83" s="217"/>
      <c r="E83" s="218"/>
    </row>
    <row r="84" spans="2:5">
      <c r="B84" s="217"/>
      <c r="E84" s="218"/>
    </row>
    <row r="85" spans="2:5">
      <c r="B85" s="217"/>
      <c r="E85" s="218"/>
    </row>
    <row r="86" spans="2:5">
      <c r="B86" s="217"/>
      <c r="E86" s="218"/>
    </row>
    <row r="87" spans="2:5">
      <c r="B87" s="217"/>
      <c r="E87" s="218"/>
    </row>
    <row r="88" spans="2:5">
      <c r="B88" s="217"/>
      <c r="E88" s="218"/>
    </row>
    <row r="89" spans="2:5">
      <c r="B89" s="217"/>
      <c r="E89" s="218"/>
    </row>
    <row r="90" spans="2:5">
      <c r="E90" s="218"/>
    </row>
    <row r="91" spans="2:5">
      <c r="E91" s="218"/>
    </row>
    <row r="162" spans="4:4">
      <c r="D162" s="219">
        <f>115000000+12000000</f>
        <v>127000000</v>
      </c>
    </row>
    <row r="270" spans="4:4">
      <c r="D270" s="219"/>
    </row>
  </sheetData>
  <mergeCells count="51">
    <mergeCell ref="D1:E1"/>
    <mergeCell ref="A2:E2"/>
    <mergeCell ref="A4:E4"/>
    <mergeCell ref="A5:E5"/>
    <mergeCell ref="A7:A12"/>
    <mergeCell ref="B7:C7"/>
    <mergeCell ref="B8:B10"/>
    <mergeCell ref="C8:D8"/>
    <mergeCell ref="B11:B12"/>
    <mergeCell ref="C11:D11"/>
    <mergeCell ref="A13:A17"/>
    <mergeCell ref="B13:C13"/>
    <mergeCell ref="B14:B15"/>
    <mergeCell ref="C14:D14"/>
    <mergeCell ref="B16:B17"/>
    <mergeCell ref="C16:D16"/>
    <mergeCell ref="A18:A20"/>
    <mergeCell ref="B18:C18"/>
    <mergeCell ref="B19:B20"/>
    <mergeCell ref="C19:D19"/>
    <mergeCell ref="A21:A25"/>
    <mergeCell ref="B21:C21"/>
    <mergeCell ref="B22:B23"/>
    <mergeCell ref="C22:D22"/>
    <mergeCell ref="B24:B25"/>
    <mergeCell ref="C24:D24"/>
    <mergeCell ref="A26:A32"/>
    <mergeCell ref="B26:C26"/>
    <mergeCell ref="B27:B28"/>
    <mergeCell ref="C27:D27"/>
    <mergeCell ref="B29:B30"/>
    <mergeCell ref="C29:D29"/>
    <mergeCell ref="B31:B32"/>
    <mergeCell ref="C31:D31"/>
    <mergeCell ref="A33:A39"/>
    <mergeCell ref="B33:C33"/>
    <mergeCell ref="B34:B35"/>
    <mergeCell ref="C34:D34"/>
    <mergeCell ref="B36:B37"/>
    <mergeCell ref="C36:D36"/>
    <mergeCell ref="B38:B39"/>
    <mergeCell ref="C38:D38"/>
    <mergeCell ref="A46:D46"/>
    <mergeCell ref="A40:A42"/>
    <mergeCell ref="B40:C40"/>
    <mergeCell ref="B41:B42"/>
    <mergeCell ref="C41:D41"/>
    <mergeCell ref="A43:A45"/>
    <mergeCell ref="B43:C43"/>
    <mergeCell ref="B44:B45"/>
    <mergeCell ref="C44:D44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105" orientation="portrait" r:id="rId1"/>
  <headerFooter>
    <oddFooter>Strona &amp;P z &amp;N</oddFooter>
  </headerFooter>
  <rowBreaks count="1" manualBreakCount="1">
    <brk id="39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M346"/>
  <sheetViews>
    <sheetView view="pageBreakPreview" zoomScale="110" zoomScaleNormal="75" zoomScaleSheetLayoutView="110" workbookViewId="0">
      <pane ySplit="5" topLeftCell="A89" activePane="bottomLeft" state="frozen"/>
      <selection activeCell="K119" sqref="K119"/>
      <selection pane="bottomLeft" activeCell="K119" sqref="K119"/>
    </sheetView>
  </sheetViews>
  <sheetFormatPr defaultRowHeight="15.75"/>
  <cols>
    <col min="1" max="1" width="5.5703125" style="259" bestFit="1" customWidth="1"/>
    <col min="2" max="2" width="8.85546875" style="257" bestFit="1" customWidth="1"/>
    <col min="3" max="3" width="26.42578125" style="162" customWidth="1"/>
    <col min="4" max="4" width="8.85546875" style="162" bestFit="1" customWidth="1"/>
    <col min="5" max="5" width="10.28515625" style="162" customWidth="1"/>
    <col min="6" max="6" width="10.28515625" style="162" bestFit="1" customWidth="1"/>
    <col min="7" max="7" width="13.28515625" style="162" customWidth="1"/>
    <col min="8" max="8" width="9.7109375" style="162" bestFit="1" customWidth="1"/>
    <col min="9" max="9" width="12.85546875" style="162" bestFit="1" customWidth="1"/>
    <col min="10" max="10" width="10.85546875" style="162" customWidth="1"/>
    <col min="11" max="11" width="12.42578125" style="162" customWidth="1"/>
    <col min="12" max="12" width="10.5703125" style="162" customWidth="1"/>
    <col min="13" max="13" width="9.7109375" style="162" customWidth="1"/>
    <col min="14" max="16384" width="9.140625" style="162"/>
  </cols>
  <sheetData>
    <row r="1" spans="1:13" ht="23.25" customHeight="1">
      <c r="A1" s="1790" t="s">
        <v>247</v>
      </c>
      <c r="B1" s="1790"/>
      <c r="C1" s="1790"/>
      <c r="D1" s="1790"/>
      <c r="E1" s="1790"/>
      <c r="F1" s="1790"/>
      <c r="G1" s="1790"/>
      <c r="H1" s="1790"/>
      <c r="I1" s="1790"/>
      <c r="J1" s="1790"/>
      <c r="K1" s="1790"/>
      <c r="L1" s="1790"/>
    </row>
    <row r="2" spans="1:13" ht="13.5" thickBot="1">
      <c r="A2" s="2168" t="s">
        <v>248</v>
      </c>
      <c r="B2" s="2168"/>
      <c r="C2" s="2168"/>
      <c r="D2" s="2168"/>
      <c r="E2" s="2168"/>
      <c r="F2" s="2168"/>
      <c r="G2" s="2168"/>
      <c r="H2" s="2168"/>
      <c r="I2" s="2168"/>
      <c r="J2" s="2168"/>
      <c r="K2" s="2168"/>
      <c r="L2" s="2168"/>
    </row>
    <row r="3" spans="1:13" ht="12.75">
      <c r="A3" s="2099" t="s">
        <v>0</v>
      </c>
      <c r="B3" s="2101" t="s">
        <v>1</v>
      </c>
      <c r="C3" s="2101" t="s">
        <v>64</v>
      </c>
      <c r="D3" s="2122" t="s">
        <v>5</v>
      </c>
      <c r="E3" s="2103" t="s">
        <v>74</v>
      </c>
      <c r="F3" s="2103" t="s">
        <v>73</v>
      </c>
      <c r="G3" s="2199" t="s">
        <v>249</v>
      </c>
      <c r="H3" s="2200"/>
      <c r="I3" s="2200"/>
      <c r="J3" s="2200"/>
      <c r="K3" s="2201"/>
      <c r="L3" s="2105" t="s">
        <v>72</v>
      </c>
    </row>
    <row r="4" spans="1:13" ht="12.75" customHeight="1">
      <c r="A4" s="2100"/>
      <c r="B4" s="2102"/>
      <c r="C4" s="2102"/>
      <c r="D4" s="2196"/>
      <c r="E4" s="2104"/>
      <c r="F4" s="2104"/>
      <c r="G4" s="2104" t="s">
        <v>250</v>
      </c>
      <c r="H4" s="2102" t="s">
        <v>2</v>
      </c>
      <c r="I4" s="2102"/>
      <c r="J4" s="2104" t="s">
        <v>251</v>
      </c>
      <c r="K4" s="2203" t="s">
        <v>252</v>
      </c>
      <c r="L4" s="2106"/>
    </row>
    <row r="5" spans="1:13" ht="77.25" customHeight="1" thickBot="1">
      <c r="A5" s="2194"/>
      <c r="B5" s="2195"/>
      <c r="C5" s="2195"/>
      <c r="D5" s="2197"/>
      <c r="E5" s="2198"/>
      <c r="F5" s="2198"/>
      <c r="G5" s="2198"/>
      <c r="H5" s="221" t="s">
        <v>253</v>
      </c>
      <c r="I5" s="221" t="s">
        <v>254</v>
      </c>
      <c r="J5" s="2198"/>
      <c r="K5" s="2204"/>
      <c r="L5" s="2202"/>
    </row>
    <row r="6" spans="1:13" ht="30" customHeight="1">
      <c r="A6" s="2169" t="s">
        <v>116</v>
      </c>
      <c r="B6" s="2193" t="s">
        <v>218</v>
      </c>
      <c r="C6" s="2193"/>
      <c r="D6" s="222"/>
      <c r="E6" s="223">
        <f>SUM(E7,E23)</f>
        <v>7462000</v>
      </c>
      <c r="F6" s="223">
        <f>SUM(F7,F23)</f>
        <v>4444000</v>
      </c>
      <c r="G6" s="223">
        <f>SUM(H6:I6)</f>
        <v>4424000</v>
      </c>
      <c r="H6" s="223">
        <f>SUM(H7,H23)</f>
        <v>1472420</v>
      </c>
      <c r="I6" s="223">
        <f>SUM(I7,I23)</f>
        <v>2951580</v>
      </c>
      <c r="J6" s="223">
        <f>SUM(J7,J23)</f>
        <v>0</v>
      </c>
      <c r="K6" s="223">
        <f>SUM(K7,K23)</f>
        <v>20000</v>
      </c>
      <c r="L6" s="224">
        <f>SUM(L7,L23)</f>
        <v>3018000</v>
      </c>
      <c r="M6" s="197"/>
    </row>
    <row r="7" spans="1:13" ht="25.5" customHeight="1">
      <c r="A7" s="2162"/>
      <c r="B7" s="2177" t="s">
        <v>219</v>
      </c>
      <c r="C7" s="2180" t="s">
        <v>220</v>
      </c>
      <c r="D7" s="212" t="s">
        <v>255</v>
      </c>
      <c r="E7" s="225">
        <f>SUM(F7,L7)</f>
        <v>7368000</v>
      </c>
      <c r="F7" s="225">
        <f>SUM(G7,J7,K7)</f>
        <v>4350000</v>
      </c>
      <c r="G7" s="225">
        <f>SUM(H7:I7)</f>
        <v>4330000</v>
      </c>
      <c r="H7" s="225">
        <f>SUM(H8:H22)</f>
        <v>1380341</v>
      </c>
      <c r="I7" s="225">
        <f>SUM(I8:I21)</f>
        <v>2949659</v>
      </c>
      <c r="J7" s="226"/>
      <c r="K7" s="225">
        <f>SUM(K8:K22)</f>
        <v>20000</v>
      </c>
      <c r="L7" s="227">
        <f>SUM(L8:L22)</f>
        <v>3018000</v>
      </c>
      <c r="M7" s="228"/>
    </row>
    <row r="8" spans="1:13" ht="12.75">
      <c r="A8" s="2162"/>
      <c r="B8" s="2178"/>
      <c r="C8" s="2181"/>
      <c r="D8" s="229">
        <v>3020</v>
      </c>
      <c r="E8" s="230">
        <f t="shared" ref="E8:E12" si="0">SUM(F8,L8)</f>
        <v>20000</v>
      </c>
      <c r="F8" s="230">
        <f t="shared" ref="F8:F12" si="1">SUM(G8,J8,K8)</f>
        <v>20000</v>
      </c>
      <c r="G8" s="230"/>
      <c r="H8" s="231"/>
      <c r="I8" s="231"/>
      <c r="J8" s="231"/>
      <c r="K8" s="230">
        <v>20000</v>
      </c>
      <c r="L8" s="232"/>
      <c r="M8" s="228"/>
    </row>
    <row r="9" spans="1:13" ht="12.75">
      <c r="A9" s="2162"/>
      <c r="B9" s="2178"/>
      <c r="C9" s="2181"/>
      <c r="D9" s="229">
        <v>4010</v>
      </c>
      <c r="E9" s="230">
        <f t="shared" si="0"/>
        <v>1080106</v>
      </c>
      <c r="F9" s="230">
        <f t="shared" si="1"/>
        <v>1080106</v>
      </c>
      <c r="G9" s="230">
        <f t="shared" ref="G9:G12" si="2">SUM(H9:I9)</f>
        <v>1080106</v>
      </c>
      <c r="H9" s="230">
        <v>1080106</v>
      </c>
      <c r="I9" s="231"/>
      <c r="J9" s="231"/>
      <c r="K9" s="231"/>
      <c r="L9" s="232"/>
      <c r="M9" s="228"/>
    </row>
    <row r="10" spans="1:13" ht="12.75">
      <c r="A10" s="2162"/>
      <c r="B10" s="2178"/>
      <c r="C10" s="2181"/>
      <c r="D10" s="229">
        <v>4040</v>
      </c>
      <c r="E10" s="230">
        <f t="shared" si="0"/>
        <v>82280</v>
      </c>
      <c r="F10" s="230">
        <f t="shared" si="1"/>
        <v>82280</v>
      </c>
      <c r="G10" s="230">
        <f t="shared" si="2"/>
        <v>82280</v>
      </c>
      <c r="H10" s="230">
        <v>82280</v>
      </c>
      <c r="I10" s="231"/>
      <c r="J10" s="231"/>
      <c r="K10" s="231"/>
      <c r="L10" s="232"/>
      <c r="M10" s="228"/>
    </row>
    <row r="11" spans="1:13" ht="12.75">
      <c r="A11" s="2162"/>
      <c r="B11" s="2178"/>
      <c r="C11" s="2181"/>
      <c r="D11" s="229">
        <v>4110</v>
      </c>
      <c r="E11" s="230">
        <f t="shared" si="0"/>
        <v>196149</v>
      </c>
      <c r="F11" s="230">
        <f t="shared" si="1"/>
        <v>196149</v>
      </c>
      <c r="G11" s="230">
        <f t="shared" si="2"/>
        <v>196149</v>
      </c>
      <c r="H11" s="230">
        <v>196149</v>
      </c>
      <c r="I11" s="231"/>
      <c r="J11" s="231"/>
      <c r="K11" s="231"/>
      <c r="L11" s="232"/>
      <c r="M11" s="228"/>
    </row>
    <row r="12" spans="1:13" ht="12.75">
      <c r="A12" s="2162"/>
      <c r="B12" s="2178"/>
      <c r="C12" s="2181"/>
      <c r="D12" s="229">
        <v>4120</v>
      </c>
      <c r="E12" s="230">
        <f t="shared" si="0"/>
        <v>21806</v>
      </c>
      <c r="F12" s="230">
        <f t="shared" si="1"/>
        <v>21806</v>
      </c>
      <c r="G12" s="230">
        <f t="shared" si="2"/>
        <v>21806</v>
      </c>
      <c r="H12" s="230">
        <v>21806</v>
      </c>
      <c r="I12" s="231"/>
      <c r="J12" s="231"/>
      <c r="K12" s="231"/>
      <c r="L12" s="232"/>
      <c r="M12" s="228"/>
    </row>
    <row r="13" spans="1:13" ht="12.75">
      <c r="A13" s="2162"/>
      <c r="B13" s="2178"/>
      <c r="C13" s="2181"/>
      <c r="D13" s="229">
        <v>4210</v>
      </c>
      <c r="E13" s="230">
        <f>SUM(F13,L13)</f>
        <v>20000</v>
      </c>
      <c r="F13" s="230">
        <f>SUM(G13,J13,K13)</f>
        <v>20000</v>
      </c>
      <c r="G13" s="230">
        <f>SUM(H13:I13)</f>
        <v>20000</v>
      </c>
      <c r="H13" s="231"/>
      <c r="I13" s="230">
        <v>20000</v>
      </c>
      <c r="J13" s="231"/>
      <c r="K13" s="231"/>
      <c r="L13" s="232"/>
      <c r="M13" s="228"/>
    </row>
    <row r="14" spans="1:13" ht="12.75">
      <c r="A14" s="2162"/>
      <c r="B14" s="2178"/>
      <c r="C14" s="2181"/>
      <c r="D14" s="229">
        <v>4260</v>
      </c>
      <c r="E14" s="230">
        <f t="shared" ref="E14:E22" si="3">SUM(F14,L14)</f>
        <v>500000</v>
      </c>
      <c r="F14" s="230">
        <f t="shared" ref="F14:F21" si="4">SUM(G14,J14,K14)</f>
        <v>500000</v>
      </c>
      <c r="G14" s="230">
        <f t="shared" ref="G14:G21" si="5">SUM(H14:I14)</f>
        <v>500000</v>
      </c>
      <c r="H14" s="231"/>
      <c r="I14" s="230">
        <v>500000</v>
      </c>
      <c r="J14" s="231"/>
      <c r="K14" s="231"/>
      <c r="L14" s="232"/>
      <c r="M14" s="228"/>
    </row>
    <row r="15" spans="1:13" ht="12.75">
      <c r="A15" s="2162"/>
      <c r="B15" s="2178"/>
      <c r="C15" s="2181"/>
      <c r="D15" s="229">
        <v>4270</v>
      </c>
      <c r="E15" s="230">
        <f t="shared" si="3"/>
        <v>2374050</v>
      </c>
      <c r="F15" s="230">
        <f t="shared" si="4"/>
        <v>2374050</v>
      </c>
      <c r="G15" s="230">
        <f t="shared" si="5"/>
        <v>2374050</v>
      </c>
      <c r="H15" s="231"/>
      <c r="I15" s="230">
        <v>2374050</v>
      </c>
      <c r="J15" s="231"/>
      <c r="K15" s="231"/>
      <c r="L15" s="232"/>
      <c r="M15" s="228"/>
    </row>
    <row r="16" spans="1:13" ht="12.75">
      <c r="A16" s="2162"/>
      <c r="B16" s="2178"/>
      <c r="C16" s="2181"/>
      <c r="D16" s="229">
        <v>4280</v>
      </c>
      <c r="E16" s="230">
        <f t="shared" si="3"/>
        <v>2500</v>
      </c>
      <c r="F16" s="230">
        <f t="shared" si="4"/>
        <v>2500</v>
      </c>
      <c r="G16" s="230">
        <f t="shared" si="5"/>
        <v>2500</v>
      </c>
      <c r="H16" s="231"/>
      <c r="I16" s="230">
        <v>2500</v>
      </c>
      <c r="J16" s="231"/>
      <c r="K16" s="231"/>
      <c r="L16" s="232"/>
      <c r="M16" s="228"/>
    </row>
    <row r="17" spans="1:13" ht="12.75">
      <c r="A17" s="2162"/>
      <c r="B17" s="2178"/>
      <c r="C17" s="2181"/>
      <c r="D17" s="229">
        <v>4300</v>
      </c>
      <c r="E17" s="230">
        <f t="shared" si="3"/>
        <v>5000</v>
      </c>
      <c r="F17" s="230">
        <f t="shared" si="4"/>
        <v>5000</v>
      </c>
      <c r="G17" s="230">
        <f>SUM(H17:I17)</f>
        <v>5000</v>
      </c>
      <c r="H17" s="231"/>
      <c r="I17" s="230">
        <v>5000</v>
      </c>
      <c r="J17" s="231"/>
      <c r="K17" s="231"/>
      <c r="L17" s="232"/>
      <c r="M17" s="228"/>
    </row>
    <row r="18" spans="1:13" ht="12.75">
      <c r="A18" s="2162"/>
      <c r="B18" s="2178"/>
      <c r="C18" s="2181"/>
      <c r="D18" s="229">
        <v>4360</v>
      </c>
      <c r="E18" s="230">
        <f t="shared" si="3"/>
        <v>2500</v>
      </c>
      <c r="F18" s="230">
        <f t="shared" si="4"/>
        <v>2500</v>
      </c>
      <c r="G18" s="230">
        <f t="shared" si="5"/>
        <v>2500</v>
      </c>
      <c r="H18" s="231"/>
      <c r="I18" s="230">
        <v>2500</v>
      </c>
      <c r="J18" s="231"/>
      <c r="K18" s="231"/>
      <c r="L18" s="232"/>
      <c r="M18" s="228"/>
    </row>
    <row r="19" spans="1:13" ht="12.75">
      <c r="A19" s="2162"/>
      <c r="B19" s="2178"/>
      <c r="C19" s="2181"/>
      <c r="D19" s="229">
        <v>4440</v>
      </c>
      <c r="E19" s="230">
        <f t="shared" si="3"/>
        <v>40609</v>
      </c>
      <c r="F19" s="230">
        <f t="shared" si="4"/>
        <v>40609</v>
      </c>
      <c r="G19" s="230">
        <f t="shared" si="5"/>
        <v>40609</v>
      </c>
      <c r="H19" s="231"/>
      <c r="I19" s="230">
        <v>40609</v>
      </c>
      <c r="J19" s="231"/>
      <c r="K19" s="231"/>
      <c r="L19" s="232"/>
      <c r="M19" s="228"/>
    </row>
    <row r="20" spans="1:13" ht="12.75">
      <c r="A20" s="2162"/>
      <c r="B20" s="2178"/>
      <c r="C20" s="2181"/>
      <c r="D20" s="229">
        <v>4480</v>
      </c>
      <c r="E20" s="230">
        <f t="shared" si="3"/>
        <v>2000</v>
      </c>
      <c r="F20" s="230">
        <f t="shared" si="4"/>
        <v>2000</v>
      </c>
      <c r="G20" s="230">
        <f t="shared" si="5"/>
        <v>2000</v>
      </c>
      <c r="H20" s="231"/>
      <c r="I20" s="230">
        <v>2000</v>
      </c>
      <c r="J20" s="231"/>
      <c r="K20" s="231"/>
      <c r="L20" s="232"/>
      <c r="M20" s="228"/>
    </row>
    <row r="21" spans="1:13" ht="12.75">
      <c r="A21" s="2162"/>
      <c r="B21" s="2178"/>
      <c r="C21" s="2181"/>
      <c r="D21" s="229">
        <v>4500</v>
      </c>
      <c r="E21" s="230">
        <f t="shared" si="3"/>
        <v>3000</v>
      </c>
      <c r="F21" s="230">
        <f t="shared" si="4"/>
        <v>3000</v>
      </c>
      <c r="G21" s="230">
        <f t="shared" si="5"/>
        <v>3000</v>
      </c>
      <c r="H21" s="231"/>
      <c r="I21" s="230">
        <v>3000</v>
      </c>
      <c r="J21" s="231"/>
      <c r="K21" s="231"/>
      <c r="L21" s="232"/>
      <c r="M21" s="228"/>
    </row>
    <row r="22" spans="1:13" ht="12.75">
      <c r="A22" s="2162"/>
      <c r="B22" s="2178"/>
      <c r="C22" s="2181"/>
      <c r="D22" s="229">
        <v>6050</v>
      </c>
      <c r="E22" s="230">
        <f t="shared" si="3"/>
        <v>3018000</v>
      </c>
      <c r="F22" s="230"/>
      <c r="G22" s="230"/>
      <c r="H22" s="231"/>
      <c r="I22" s="231"/>
      <c r="J22" s="231"/>
      <c r="K22" s="231"/>
      <c r="L22" s="233">
        <v>3018000</v>
      </c>
      <c r="M22" s="228"/>
    </row>
    <row r="23" spans="1:13" ht="27.75" customHeight="1">
      <c r="A23" s="2162"/>
      <c r="B23" s="2177" t="s">
        <v>118</v>
      </c>
      <c r="C23" s="2180" t="s">
        <v>213</v>
      </c>
      <c r="D23" s="212" t="s">
        <v>255</v>
      </c>
      <c r="E23" s="225">
        <f>SUM(F23,L23)</f>
        <v>94000</v>
      </c>
      <c r="F23" s="225">
        <f>SUM(G23,J23,K23)</f>
        <v>94000</v>
      </c>
      <c r="G23" s="225">
        <f>SUM(H23:I23)</f>
        <v>94000</v>
      </c>
      <c r="H23" s="225">
        <f>SUM(H24:H26)</f>
        <v>92079</v>
      </c>
      <c r="I23" s="225">
        <f>SUM(I24:I26)</f>
        <v>1921</v>
      </c>
      <c r="J23" s="225"/>
      <c r="K23" s="225"/>
      <c r="L23" s="227">
        <f>SUM(L24:L26)</f>
        <v>0</v>
      </c>
    </row>
    <row r="24" spans="1:13" ht="12.75">
      <c r="A24" s="2162"/>
      <c r="B24" s="2178"/>
      <c r="C24" s="2181"/>
      <c r="D24" s="229">
        <v>4010</v>
      </c>
      <c r="E24" s="230">
        <f>SUM(F24,L24)</f>
        <v>78445</v>
      </c>
      <c r="F24" s="230">
        <f>SUM(G24,J24,K24)</f>
        <v>78445</v>
      </c>
      <c r="G24" s="230">
        <f>H24+I24</f>
        <v>78445</v>
      </c>
      <c r="H24" s="230">
        <v>78445</v>
      </c>
      <c r="I24" s="230"/>
      <c r="J24" s="230"/>
      <c r="K24" s="230"/>
      <c r="L24" s="233"/>
    </row>
    <row r="25" spans="1:13" ht="12.75">
      <c r="A25" s="2162"/>
      <c r="B25" s="2178"/>
      <c r="C25" s="2181"/>
      <c r="D25" s="229">
        <v>4110</v>
      </c>
      <c r="E25" s="230">
        <f>SUM(F25,L25)</f>
        <v>13634</v>
      </c>
      <c r="F25" s="230">
        <f t="shared" ref="F25:F26" si="6">SUM(G25,J25,K25)</f>
        <v>13634</v>
      </c>
      <c r="G25" s="230">
        <f t="shared" ref="G25:G26" si="7">H25+I25</f>
        <v>13634</v>
      </c>
      <c r="H25" s="230">
        <v>13634</v>
      </c>
      <c r="I25" s="230"/>
      <c r="J25" s="230"/>
      <c r="K25" s="230"/>
      <c r="L25" s="233"/>
    </row>
    <row r="26" spans="1:13" ht="12.75">
      <c r="A26" s="2163"/>
      <c r="B26" s="2179"/>
      <c r="C26" s="2182"/>
      <c r="D26" s="229">
        <v>4140</v>
      </c>
      <c r="E26" s="230">
        <f t="shared" ref="E26" si="8">SUM(F26,L26)</f>
        <v>1921</v>
      </c>
      <c r="F26" s="230">
        <f t="shared" si="6"/>
        <v>1921</v>
      </c>
      <c r="G26" s="230">
        <f t="shared" si="7"/>
        <v>1921</v>
      </c>
      <c r="H26" s="230"/>
      <c r="I26" s="230">
        <v>1921</v>
      </c>
      <c r="J26" s="230"/>
      <c r="K26" s="230"/>
      <c r="L26" s="233"/>
    </row>
    <row r="27" spans="1:13" ht="30.75" customHeight="1">
      <c r="A27" s="2161" t="s">
        <v>7</v>
      </c>
      <c r="B27" s="2192" t="s">
        <v>141</v>
      </c>
      <c r="C27" s="2192"/>
      <c r="D27" s="234"/>
      <c r="E27" s="235">
        <f>F27+L27</f>
        <v>57149000</v>
      </c>
      <c r="F27" s="235">
        <f>G27+J27+K27</f>
        <v>57149000</v>
      </c>
      <c r="G27" s="235">
        <f>H27+I27</f>
        <v>149000</v>
      </c>
      <c r="H27" s="235">
        <f>H28+H29</f>
        <v>67589</v>
      </c>
      <c r="I27" s="235">
        <f>I28+I29</f>
        <v>81411</v>
      </c>
      <c r="J27" s="235">
        <f>SUM(J28)</f>
        <v>57000000</v>
      </c>
      <c r="K27" s="235"/>
      <c r="L27" s="236"/>
    </row>
    <row r="28" spans="1:13" ht="27.75" customHeight="1">
      <c r="A28" s="2162"/>
      <c r="B28" s="237" t="s">
        <v>8</v>
      </c>
      <c r="C28" s="212" t="s">
        <v>221</v>
      </c>
      <c r="D28" s="212">
        <v>2630</v>
      </c>
      <c r="E28" s="225">
        <f>SUM(F28,L28)</f>
        <v>57000000</v>
      </c>
      <c r="F28" s="225">
        <f t="shared" ref="F28:F46" si="9">SUM(G28,J28,K28)</f>
        <v>57000000</v>
      </c>
      <c r="G28" s="225"/>
      <c r="H28" s="225"/>
      <c r="I28" s="225"/>
      <c r="J28" s="225">
        <v>57000000</v>
      </c>
      <c r="K28" s="225"/>
      <c r="L28" s="227"/>
    </row>
    <row r="29" spans="1:13" ht="27.75" customHeight="1">
      <c r="A29" s="2162"/>
      <c r="B29" s="237" t="s">
        <v>222</v>
      </c>
      <c r="C29" s="212" t="s">
        <v>213</v>
      </c>
      <c r="D29" s="212" t="s">
        <v>255</v>
      </c>
      <c r="E29" s="225">
        <f>SUM(F29,L29)</f>
        <v>149000</v>
      </c>
      <c r="F29" s="225">
        <f>SUM(G29,J29,K29)</f>
        <v>149000</v>
      </c>
      <c r="G29" s="225">
        <f>SUM(H29:I29)</f>
        <v>149000</v>
      </c>
      <c r="H29" s="225">
        <f>SUM(H30:H33)</f>
        <v>67589</v>
      </c>
      <c r="I29" s="225">
        <f>SUM(I30:I33)</f>
        <v>81411</v>
      </c>
      <c r="J29" s="226"/>
      <c r="K29" s="226"/>
      <c r="L29" s="238"/>
    </row>
    <row r="30" spans="1:13" ht="12.75">
      <c r="A30" s="2162"/>
      <c r="B30" s="2178"/>
      <c r="C30" s="2181"/>
      <c r="D30" s="229">
        <v>4010</v>
      </c>
      <c r="E30" s="230">
        <f>SUM(F30,L30)</f>
        <v>57583</v>
      </c>
      <c r="F30" s="230">
        <f t="shared" si="9"/>
        <v>57583</v>
      </c>
      <c r="G30" s="230">
        <f>SUM(H30:I30)</f>
        <v>57583</v>
      </c>
      <c r="H30" s="230">
        <v>57583</v>
      </c>
      <c r="I30" s="230"/>
      <c r="J30" s="230"/>
      <c r="K30" s="230"/>
      <c r="L30" s="233"/>
      <c r="M30" s="197"/>
    </row>
    <row r="31" spans="1:13" ht="12.75">
      <c r="A31" s="2162"/>
      <c r="B31" s="2178"/>
      <c r="C31" s="2181"/>
      <c r="D31" s="229">
        <v>4110</v>
      </c>
      <c r="E31" s="230">
        <f t="shared" ref="E31:E33" si="10">SUM(F31,L31)</f>
        <v>10006</v>
      </c>
      <c r="F31" s="230">
        <f t="shared" si="9"/>
        <v>10006</v>
      </c>
      <c r="G31" s="230">
        <f t="shared" ref="G31:G33" si="11">SUM(H31:I31)</f>
        <v>10006</v>
      </c>
      <c r="H31" s="230">
        <v>10006</v>
      </c>
      <c r="I31" s="230"/>
      <c r="J31" s="230"/>
      <c r="K31" s="230"/>
      <c r="L31" s="233"/>
      <c r="M31" s="197"/>
    </row>
    <row r="32" spans="1:13" ht="12.75">
      <c r="A32" s="2162"/>
      <c r="B32" s="2178"/>
      <c r="C32" s="2181"/>
      <c r="D32" s="229">
        <v>4140</v>
      </c>
      <c r="E32" s="230">
        <f t="shared" si="10"/>
        <v>1411</v>
      </c>
      <c r="F32" s="230">
        <f t="shared" si="9"/>
        <v>1411</v>
      </c>
      <c r="G32" s="230">
        <f t="shared" si="11"/>
        <v>1411</v>
      </c>
      <c r="H32" s="230"/>
      <c r="I32" s="230">
        <v>1411</v>
      </c>
      <c r="J32" s="230"/>
      <c r="K32" s="230"/>
      <c r="L32" s="233"/>
      <c r="M32" s="197"/>
    </row>
    <row r="33" spans="1:13" ht="12.75">
      <c r="A33" s="2163"/>
      <c r="B33" s="2178"/>
      <c r="C33" s="2181"/>
      <c r="D33" s="229">
        <v>4300</v>
      </c>
      <c r="E33" s="230">
        <f t="shared" si="10"/>
        <v>80000</v>
      </c>
      <c r="F33" s="230">
        <f t="shared" si="9"/>
        <v>80000</v>
      </c>
      <c r="G33" s="230">
        <f t="shared" si="11"/>
        <v>80000</v>
      </c>
      <c r="H33" s="230"/>
      <c r="I33" s="230">
        <v>80000</v>
      </c>
      <c r="J33" s="230"/>
      <c r="K33" s="230"/>
      <c r="L33" s="233"/>
      <c r="M33" s="197"/>
    </row>
    <row r="34" spans="1:13" ht="29.25" customHeight="1">
      <c r="A34" s="2161" t="s">
        <v>121</v>
      </c>
      <c r="B34" s="2176" t="s">
        <v>223</v>
      </c>
      <c r="C34" s="2176"/>
      <c r="D34" s="239"/>
      <c r="E34" s="235">
        <f>F34+L34</f>
        <v>34000</v>
      </c>
      <c r="F34" s="235">
        <f>SUM(G34,J34,K34)</f>
        <v>34000</v>
      </c>
      <c r="G34" s="235">
        <f>SUM(H34:I34)</f>
        <v>34000</v>
      </c>
      <c r="H34" s="235">
        <f>SUM(H35)</f>
        <v>33305</v>
      </c>
      <c r="I34" s="235">
        <f>SUM(I35)</f>
        <v>695</v>
      </c>
      <c r="J34" s="235"/>
      <c r="K34" s="235"/>
      <c r="L34" s="236">
        <f>SUM(L35)</f>
        <v>0</v>
      </c>
    </row>
    <row r="35" spans="1:13" ht="27" customHeight="1">
      <c r="A35" s="2162"/>
      <c r="B35" s="2177" t="s">
        <v>224</v>
      </c>
      <c r="C35" s="2180" t="s">
        <v>213</v>
      </c>
      <c r="D35" s="212" t="s">
        <v>255</v>
      </c>
      <c r="E35" s="225">
        <f>F35+L35</f>
        <v>34000</v>
      </c>
      <c r="F35" s="225">
        <f t="shared" ref="F35:F38" si="12">SUM(G35,J35,K35)</f>
        <v>34000</v>
      </c>
      <c r="G35" s="225">
        <f>SUM(H35:I35)</f>
        <v>34000</v>
      </c>
      <c r="H35" s="225">
        <f>SUM(H36:H38)</f>
        <v>33305</v>
      </c>
      <c r="I35" s="225">
        <f>SUM(I36:I38)</f>
        <v>695</v>
      </c>
      <c r="J35" s="225"/>
      <c r="K35" s="225"/>
      <c r="L35" s="227"/>
    </row>
    <row r="36" spans="1:13" ht="12.75">
      <c r="A36" s="2162"/>
      <c r="B36" s="2178"/>
      <c r="C36" s="2181"/>
      <c r="D36" s="229">
        <v>4010</v>
      </c>
      <c r="E36" s="230">
        <f>SUM(F36,L36)</f>
        <v>28374</v>
      </c>
      <c r="F36" s="230">
        <f t="shared" si="12"/>
        <v>28374</v>
      </c>
      <c r="G36" s="230">
        <f>SUM(H36:I36)</f>
        <v>28374</v>
      </c>
      <c r="H36" s="230">
        <v>28374</v>
      </c>
      <c r="I36" s="230"/>
      <c r="J36" s="230"/>
      <c r="K36" s="230"/>
      <c r="L36" s="233"/>
      <c r="M36" s="197"/>
    </row>
    <row r="37" spans="1:13" ht="12.75">
      <c r="A37" s="2162"/>
      <c r="B37" s="2178"/>
      <c r="C37" s="2181"/>
      <c r="D37" s="229">
        <v>4110</v>
      </c>
      <c r="E37" s="230">
        <f t="shared" ref="E37:E38" si="13">SUM(F37,L37)</f>
        <v>4931</v>
      </c>
      <c r="F37" s="230">
        <f t="shared" si="12"/>
        <v>4931</v>
      </c>
      <c r="G37" s="230">
        <f t="shared" ref="G37:G38" si="14">SUM(H37:I37)</f>
        <v>4931</v>
      </c>
      <c r="H37" s="230">
        <v>4931</v>
      </c>
      <c r="I37" s="230"/>
      <c r="J37" s="230"/>
      <c r="K37" s="230"/>
      <c r="L37" s="233"/>
      <c r="M37" s="197"/>
    </row>
    <row r="38" spans="1:13" ht="12.75">
      <c r="A38" s="2162"/>
      <c r="B38" s="2178"/>
      <c r="C38" s="2181"/>
      <c r="D38" s="229">
        <v>4140</v>
      </c>
      <c r="E38" s="230">
        <f t="shared" si="13"/>
        <v>695</v>
      </c>
      <c r="F38" s="230">
        <f t="shared" si="12"/>
        <v>695</v>
      </c>
      <c r="G38" s="230">
        <f t="shared" si="14"/>
        <v>695</v>
      </c>
      <c r="H38" s="230"/>
      <c r="I38" s="230">
        <v>695</v>
      </c>
      <c r="J38" s="230"/>
      <c r="K38" s="230"/>
      <c r="L38" s="233"/>
      <c r="M38" s="197"/>
    </row>
    <row r="39" spans="1:13" ht="29.25" customHeight="1">
      <c r="A39" s="2161" t="s">
        <v>225</v>
      </c>
      <c r="B39" s="2176" t="s">
        <v>226</v>
      </c>
      <c r="C39" s="2176"/>
      <c r="D39" s="239"/>
      <c r="E39" s="235">
        <f>F39+L39</f>
        <v>575000</v>
      </c>
      <c r="F39" s="235">
        <f t="shared" si="9"/>
        <v>575000</v>
      </c>
      <c r="G39" s="235">
        <f>SUM(H39:I39)</f>
        <v>575000</v>
      </c>
      <c r="H39" s="235">
        <f>SUM(H40,H47)</f>
        <v>438000</v>
      </c>
      <c r="I39" s="235">
        <f>SUM(I40,I47)</f>
        <v>137000</v>
      </c>
      <c r="J39" s="235"/>
      <c r="K39" s="235"/>
      <c r="L39" s="236">
        <f>SUM(L40,L47)</f>
        <v>0</v>
      </c>
    </row>
    <row r="40" spans="1:13" ht="27" customHeight="1">
      <c r="A40" s="2162"/>
      <c r="B40" s="2177" t="s">
        <v>227</v>
      </c>
      <c r="C40" s="2180" t="s">
        <v>256</v>
      </c>
      <c r="D40" s="212" t="s">
        <v>255</v>
      </c>
      <c r="E40" s="225">
        <f>F40+L40</f>
        <v>475000</v>
      </c>
      <c r="F40" s="225">
        <f t="shared" si="9"/>
        <v>475000</v>
      </c>
      <c r="G40" s="225">
        <f>SUM(H40:I40)</f>
        <v>475000</v>
      </c>
      <c r="H40" s="225">
        <f>SUM(H41:H46)</f>
        <v>438000</v>
      </c>
      <c r="I40" s="225">
        <f>SUM(I41:I46)</f>
        <v>37000</v>
      </c>
      <c r="J40" s="225"/>
      <c r="K40" s="225"/>
      <c r="L40" s="227"/>
    </row>
    <row r="41" spans="1:13" ht="12.75">
      <c r="A41" s="2162"/>
      <c r="B41" s="2178"/>
      <c r="C41" s="2181"/>
      <c r="D41" s="229">
        <v>4010</v>
      </c>
      <c r="E41" s="230">
        <f>SUM(F41,L41)</f>
        <v>364792</v>
      </c>
      <c r="F41" s="230">
        <f t="shared" si="9"/>
        <v>364792</v>
      </c>
      <c r="G41" s="230">
        <f>SUM(H41:I41)</f>
        <v>364792</v>
      </c>
      <c r="H41" s="230">
        <f>323000+41792</f>
        <v>364792</v>
      </c>
      <c r="I41" s="230"/>
      <c r="J41" s="230"/>
      <c r="K41" s="230"/>
      <c r="L41" s="233"/>
      <c r="M41" s="197"/>
    </row>
    <row r="42" spans="1:13" ht="12.75">
      <c r="A42" s="2162"/>
      <c r="B42" s="2178"/>
      <c r="C42" s="2181"/>
      <c r="D42" s="229">
        <v>4110</v>
      </c>
      <c r="E42" s="230">
        <f t="shared" ref="E42:E53" si="15">SUM(F42,L42)</f>
        <v>65185</v>
      </c>
      <c r="F42" s="230">
        <f t="shared" si="9"/>
        <v>65185</v>
      </c>
      <c r="G42" s="230">
        <f t="shared" ref="G42:G46" si="16">SUM(H42:I42)</f>
        <v>65185</v>
      </c>
      <c r="H42" s="230">
        <f>58000+7185</f>
        <v>65185</v>
      </c>
      <c r="I42" s="230"/>
      <c r="J42" s="230"/>
      <c r="K42" s="230"/>
      <c r="L42" s="233"/>
      <c r="M42" s="197"/>
    </row>
    <row r="43" spans="1:13" ht="12.75">
      <c r="A43" s="2162"/>
      <c r="B43" s="2178"/>
      <c r="C43" s="2181"/>
      <c r="D43" s="229">
        <v>4120</v>
      </c>
      <c r="E43" s="230">
        <f t="shared" si="15"/>
        <v>8023</v>
      </c>
      <c r="F43" s="230">
        <f t="shared" si="9"/>
        <v>8023</v>
      </c>
      <c r="G43" s="230">
        <f t="shared" si="16"/>
        <v>8023</v>
      </c>
      <c r="H43" s="230">
        <f>7000+1023</f>
        <v>8023</v>
      </c>
      <c r="I43" s="230"/>
      <c r="J43" s="230"/>
      <c r="K43" s="230"/>
      <c r="L43" s="233"/>
      <c r="M43" s="197"/>
    </row>
    <row r="44" spans="1:13" ht="12.75">
      <c r="A44" s="2162"/>
      <c r="B44" s="2178"/>
      <c r="C44" s="2181"/>
      <c r="D44" s="229">
        <v>4210</v>
      </c>
      <c r="E44" s="230">
        <f>SUM(F44,L44)</f>
        <v>25000</v>
      </c>
      <c r="F44" s="230">
        <f t="shared" si="9"/>
        <v>25000</v>
      </c>
      <c r="G44" s="230">
        <f t="shared" si="16"/>
        <v>25000</v>
      </c>
      <c r="H44" s="230"/>
      <c r="I44" s="230">
        <v>25000</v>
      </c>
      <c r="J44" s="230"/>
      <c r="K44" s="230"/>
      <c r="L44" s="233"/>
      <c r="M44" s="197"/>
    </row>
    <row r="45" spans="1:13" ht="12.75">
      <c r="A45" s="2162"/>
      <c r="B45" s="2178"/>
      <c r="C45" s="2181"/>
      <c r="D45" s="229">
        <v>4300</v>
      </c>
      <c r="E45" s="230">
        <f t="shared" si="15"/>
        <v>10000</v>
      </c>
      <c r="F45" s="230">
        <f t="shared" si="9"/>
        <v>10000</v>
      </c>
      <c r="G45" s="230">
        <f t="shared" si="16"/>
        <v>10000</v>
      </c>
      <c r="H45" s="230"/>
      <c r="I45" s="230">
        <v>10000</v>
      </c>
      <c r="J45" s="230"/>
      <c r="K45" s="230"/>
      <c r="L45" s="233"/>
      <c r="M45" s="197"/>
    </row>
    <row r="46" spans="1:13" ht="12.75">
      <c r="A46" s="2162"/>
      <c r="B46" s="2178"/>
      <c r="C46" s="2181"/>
      <c r="D46" s="229">
        <v>4410</v>
      </c>
      <c r="E46" s="230">
        <f t="shared" si="15"/>
        <v>2000</v>
      </c>
      <c r="F46" s="230">
        <f t="shared" si="9"/>
        <v>2000</v>
      </c>
      <c r="G46" s="230">
        <f t="shared" si="16"/>
        <v>2000</v>
      </c>
      <c r="H46" s="230"/>
      <c r="I46" s="230">
        <v>2000</v>
      </c>
      <c r="J46" s="230"/>
      <c r="K46" s="230"/>
      <c r="L46" s="233"/>
      <c r="M46" s="197"/>
    </row>
    <row r="47" spans="1:13" ht="27.75" customHeight="1">
      <c r="A47" s="2162"/>
      <c r="B47" s="2177" t="s">
        <v>229</v>
      </c>
      <c r="C47" s="2180" t="s">
        <v>213</v>
      </c>
      <c r="D47" s="212" t="s">
        <v>255</v>
      </c>
      <c r="E47" s="225">
        <f>SUM(F47,L47)</f>
        <v>100000</v>
      </c>
      <c r="F47" s="225">
        <f>SUM(G47,J47,K47)</f>
        <v>100000</v>
      </c>
      <c r="G47" s="225">
        <f>SUM(H47:I47)</f>
        <v>100000</v>
      </c>
      <c r="H47" s="225"/>
      <c r="I47" s="225">
        <f>SUM(I48:I48)</f>
        <v>100000</v>
      </c>
      <c r="J47" s="225"/>
      <c r="K47" s="225"/>
      <c r="L47" s="227">
        <f>SUM(L48:L48)</f>
        <v>0</v>
      </c>
    </row>
    <row r="48" spans="1:13" ht="12.75">
      <c r="A48" s="2162"/>
      <c r="B48" s="2178"/>
      <c r="C48" s="2181"/>
      <c r="D48" s="229">
        <v>4270</v>
      </c>
      <c r="E48" s="230">
        <f t="shared" si="15"/>
        <v>100000</v>
      </c>
      <c r="F48" s="230">
        <f>SUM(G48,J48,K48)</f>
        <v>100000</v>
      </c>
      <c r="G48" s="230">
        <f>H48+I48</f>
        <v>100000</v>
      </c>
      <c r="H48" s="230"/>
      <c r="I48" s="230">
        <v>100000</v>
      </c>
      <c r="J48" s="230"/>
      <c r="K48" s="230"/>
      <c r="L48" s="233"/>
    </row>
    <row r="49" spans="1:13" ht="29.25" customHeight="1">
      <c r="A49" s="2161" t="s">
        <v>4</v>
      </c>
      <c r="B49" s="2192" t="s">
        <v>18</v>
      </c>
      <c r="C49" s="2192"/>
      <c r="D49" s="240"/>
      <c r="E49" s="235">
        <f>SUM(F49,L49)</f>
        <v>365000</v>
      </c>
      <c r="F49" s="235">
        <f>SUM(G49,J49,K49)</f>
        <v>365000</v>
      </c>
      <c r="G49" s="235">
        <f>SUM(H49:I49)</f>
        <v>365000</v>
      </c>
      <c r="H49" s="235">
        <f>SUM(H50,H54,H60)</f>
        <v>247035</v>
      </c>
      <c r="I49" s="235">
        <f>SUM(I50,I54,I60)</f>
        <v>117965</v>
      </c>
      <c r="J49" s="235"/>
      <c r="K49" s="235"/>
      <c r="L49" s="236"/>
    </row>
    <row r="50" spans="1:13" s="242" customFormat="1" ht="23.25" customHeight="1">
      <c r="A50" s="2162"/>
      <c r="B50" s="2177" t="s">
        <v>230</v>
      </c>
      <c r="C50" s="2180" t="s">
        <v>231</v>
      </c>
      <c r="D50" s="212" t="s">
        <v>255</v>
      </c>
      <c r="E50" s="225">
        <f t="shared" si="15"/>
        <v>145000</v>
      </c>
      <c r="F50" s="225">
        <f>SUM(G50,J50,K50)</f>
        <v>145000</v>
      </c>
      <c r="G50" s="225">
        <f>SUM(H50:I50)</f>
        <v>145000</v>
      </c>
      <c r="H50" s="225">
        <f>SUM(H51:H53)</f>
        <v>142035</v>
      </c>
      <c r="I50" s="225">
        <f>SUM(I51:I53)</f>
        <v>2965</v>
      </c>
      <c r="J50" s="225"/>
      <c r="K50" s="225"/>
      <c r="L50" s="227"/>
      <c r="M50" s="241"/>
    </row>
    <row r="51" spans="1:13" s="242" customFormat="1" ht="12.75">
      <c r="A51" s="2162"/>
      <c r="B51" s="2178"/>
      <c r="C51" s="2181"/>
      <c r="D51" s="229">
        <v>4010</v>
      </c>
      <c r="E51" s="230">
        <f t="shared" si="15"/>
        <v>121004</v>
      </c>
      <c r="F51" s="230">
        <f>SUM(G51,J51,K51)</f>
        <v>121004</v>
      </c>
      <c r="G51" s="230">
        <f>SUM(H51:I51)</f>
        <v>121004</v>
      </c>
      <c r="H51" s="230">
        <v>121004</v>
      </c>
      <c r="I51" s="230"/>
      <c r="J51" s="230"/>
      <c r="K51" s="230"/>
      <c r="L51" s="233"/>
    </row>
    <row r="52" spans="1:13" s="242" customFormat="1" ht="12.75">
      <c r="A52" s="2162"/>
      <c r="B52" s="2178"/>
      <c r="C52" s="2181"/>
      <c r="D52" s="229">
        <v>4110</v>
      </c>
      <c r="E52" s="230">
        <f t="shared" si="15"/>
        <v>21031</v>
      </c>
      <c r="F52" s="230">
        <f t="shared" ref="F52:F53" si="17">SUM(G52,J52,K52)</f>
        <v>21031</v>
      </c>
      <c r="G52" s="230">
        <f t="shared" ref="G52:G53" si="18">SUM(H52:I52)</f>
        <v>21031</v>
      </c>
      <c r="H52" s="230">
        <v>21031</v>
      </c>
      <c r="I52" s="230"/>
      <c r="J52" s="230"/>
      <c r="K52" s="230"/>
      <c r="L52" s="233"/>
      <c r="M52" s="241"/>
    </row>
    <row r="53" spans="1:13" s="242" customFormat="1" ht="12.75">
      <c r="A53" s="2162"/>
      <c r="B53" s="2179"/>
      <c r="C53" s="2182"/>
      <c r="D53" s="229">
        <v>4140</v>
      </c>
      <c r="E53" s="230">
        <f t="shared" si="15"/>
        <v>2965</v>
      </c>
      <c r="F53" s="230">
        <f t="shared" si="17"/>
        <v>2965</v>
      </c>
      <c r="G53" s="230">
        <f t="shared" si="18"/>
        <v>2965</v>
      </c>
      <c r="H53" s="230"/>
      <c r="I53" s="230">
        <v>2965</v>
      </c>
      <c r="J53" s="230"/>
      <c r="K53" s="230"/>
      <c r="L53" s="233"/>
    </row>
    <row r="54" spans="1:13" ht="24" customHeight="1">
      <c r="A54" s="2162"/>
      <c r="B54" s="2177" t="s">
        <v>232</v>
      </c>
      <c r="C54" s="2180" t="s">
        <v>233</v>
      </c>
      <c r="D54" s="212" t="s">
        <v>255</v>
      </c>
      <c r="E54" s="225">
        <f>SUM(F54,L54)</f>
        <v>20000</v>
      </c>
      <c r="F54" s="225">
        <f>SUM(G54,J54,K54)</f>
        <v>20000</v>
      </c>
      <c r="G54" s="225">
        <f>SUM(H54:I54)</f>
        <v>20000</v>
      </c>
      <c r="H54" s="225">
        <f>SUM(H55:H59)</f>
        <v>10000</v>
      </c>
      <c r="I54" s="225">
        <f>SUM(I55:I59)</f>
        <v>10000</v>
      </c>
      <c r="J54" s="226"/>
      <c r="K54" s="226"/>
      <c r="L54" s="238"/>
    </row>
    <row r="55" spans="1:13" ht="12.75">
      <c r="A55" s="2162"/>
      <c r="B55" s="2178"/>
      <c r="C55" s="2181"/>
      <c r="D55" s="229">
        <v>4110</v>
      </c>
      <c r="E55" s="230">
        <f>SUM(F55,L55)</f>
        <v>700</v>
      </c>
      <c r="F55" s="230">
        <f>SUM(G55,J55,K55)</f>
        <v>700</v>
      </c>
      <c r="G55" s="230">
        <f>SUM(H55:I55)</f>
        <v>700</v>
      </c>
      <c r="H55" s="230">
        <v>700</v>
      </c>
      <c r="I55" s="230"/>
      <c r="J55" s="231"/>
      <c r="K55" s="231"/>
      <c r="L55" s="232"/>
    </row>
    <row r="56" spans="1:13" ht="12.75">
      <c r="A56" s="2162"/>
      <c r="B56" s="2178"/>
      <c r="C56" s="2181"/>
      <c r="D56" s="229">
        <v>4120</v>
      </c>
      <c r="E56" s="230">
        <f t="shared" ref="E56:E68" si="19">SUM(F56,L56)</f>
        <v>140</v>
      </c>
      <c r="F56" s="230">
        <f t="shared" ref="F56:F59" si="20">SUM(G56,J56,K56)</f>
        <v>140</v>
      </c>
      <c r="G56" s="230">
        <f t="shared" ref="G56:G74" si="21">SUM(H56:I56)</f>
        <v>140</v>
      </c>
      <c r="H56" s="230">
        <v>140</v>
      </c>
      <c r="I56" s="230"/>
      <c r="J56" s="231"/>
      <c r="K56" s="231"/>
      <c r="L56" s="232"/>
    </row>
    <row r="57" spans="1:13" ht="12.75">
      <c r="A57" s="2162"/>
      <c r="B57" s="2178"/>
      <c r="C57" s="2181"/>
      <c r="D57" s="229">
        <v>4170</v>
      </c>
      <c r="E57" s="230">
        <f t="shared" si="19"/>
        <v>9160</v>
      </c>
      <c r="F57" s="230">
        <f t="shared" si="20"/>
        <v>9160</v>
      </c>
      <c r="G57" s="230">
        <f t="shared" si="21"/>
        <v>9160</v>
      </c>
      <c r="H57" s="230">
        <v>9160</v>
      </c>
      <c r="I57" s="230"/>
      <c r="J57" s="231"/>
      <c r="K57" s="231"/>
      <c r="L57" s="232"/>
      <c r="M57" s="197"/>
    </row>
    <row r="58" spans="1:13" ht="12.75">
      <c r="A58" s="2162"/>
      <c r="B58" s="2178"/>
      <c r="C58" s="2181"/>
      <c r="D58" s="229">
        <v>4210</v>
      </c>
      <c r="E58" s="230">
        <f t="shared" si="19"/>
        <v>1500</v>
      </c>
      <c r="F58" s="230">
        <f t="shared" si="20"/>
        <v>1500</v>
      </c>
      <c r="G58" s="230">
        <f t="shared" si="21"/>
        <v>1500</v>
      </c>
      <c r="H58" s="230"/>
      <c r="I58" s="230">
        <v>1500</v>
      </c>
      <c r="J58" s="231"/>
      <c r="K58" s="231"/>
      <c r="L58" s="232"/>
    </row>
    <row r="59" spans="1:13" ht="12.75">
      <c r="A59" s="2162"/>
      <c r="B59" s="2179"/>
      <c r="C59" s="2182"/>
      <c r="D59" s="229">
        <v>4300</v>
      </c>
      <c r="E59" s="230">
        <f t="shared" si="19"/>
        <v>8500</v>
      </c>
      <c r="F59" s="230">
        <f t="shared" si="20"/>
        <v>8500</v>
      </c>
      <c r="G59" s="230">
        <f t="shared" si="21"/>
        <v>8500</v>
      </c>
      <c r="H59" s="230"/>
      <c r="I59" s="230">
        <v>8500</v>
      </c>
      <c r="J59" s="231"/>
      <c r="K59" s="231"/>
      <c r="L59" s="232"/>
      <c r="M59" s="197"/>
    </row>
    <row r="60" spans="1:13" s="242" customFormat="1" ht="23.25" customHeight="1">
      <c r="A60" s="2162"/>
      <c r="B60" s="2177" t="s">
        <v>234</v>
      </c>
      <c r="C60" s="2180" t="s">
        <v>235</v>
      </c>
      <c r="D60" s="212" t="s">
        <v>255</v>
      </c>
      <c r="E60" s="225">
        <f t="shared" si="19"/>
        <v>200000</v>
      </c>
      <c r="F60" s="225">
        <f>SUM(G60,J60,K60)</f>
        <v>200000</v>
      </c>
      <c r="G60" s="225">
        <f>SUM(H60:I60)</f>
        <v>200000</v>
      </c>
      <c r="H60" s="225">
        <f>SUM(H61:H68)</f>
        <v>95000</v>
      </c>
      <c r="I60" s="225">
        <f>SUM(I61:I68)</f>
        <v>105000</v>
      </c>
      <c r="J60" s="225"/>
      <c r="K60" s="225"/>
      <c r="L60" s="227"/>
      <c r="M60" s="241"/>
    </row>
    <row r="61" spans="1:13" s="242" customFormat="1" ht="12.75">
      <c r="A61" s="2162"/>
      <c r="B61" s="2178"/>
      <c r="C61" s="2181"/>
      <c r="D61" s="229">
        <v>4010</v>
      </c>
      <c r="E61" s="230">
        <f t="shared" si="19"/>
        <v>76776</v>
      </c>
      <c r="F61" s="230">
        <f>SUM(G61,J61,K61)</f>
        <v>76776</v>
      </c>
      <c r="G61" s="230">
        <f>SUM(H61:I61)</f>
        <v>76776</v>
      </c>
      <c r="H61" s="230">
        <v>76776</v>
      </c>
      <c r="I61" s="230"/>
      <c r="J61" s="230"/>
      <c r="K61" s="230"/>
      <c r="L61" s="233"/>
    </row>
    <row r="62" spans="1:13" s="242" customFormat="1" ht="12.75">
      <c r="A62" s="2162"/>
      <c r="B62" s="2178"/>
      <c r="C62" s="2181"/>
      <c r="D62" s="229">
        <v>4110</v>
      </c>
      <c r="E62" s="230">
        <f t="shared" si="19"/>
        <v>13343</v>
      </c>
      <c r="F62" s="230">
        <f t="shared" ref="F62:F68" si="22">SUM(G62,J62,K62)</f>
        <v>13343</v>
      </c>
      <c r="G62" s="230">
        <f t="shared" ref="G62:G68" si="23">SUM(H62:I62)</f>
        <v>13343</v>
      </c>
      <c r="H62" s="230">
        <v>13343</v>
      </c>
      <c r="I62" s="230"/>
      <c r="J62" s="230"/>
      <c r="K62" s="230"/>
      <c r="L62" s="233"/>
    </row>
    <row r="63" spans="1:13" s="242" customFormat="1" ht="12.75">
      <c r="A63" s="2162"/>
      <c r="B63" s="2178"/>
      <c r="C63" s="2181"/>
      <c r="D63" s="229">
        <v>4120</v>
      </c>
      <c r="E63" s="230">
        <f t="shared" si="19"/>
        <v>1881</v>
      </c>
      <c r="F63" s="230">
        <f t="shared" si="22"/>
        <v>1881</v>
      </c>
      <c r="G63" s="230">
        <f t="shared" si="23"/>
        <v>1881</v>
      </c>
      <c r="H63" s="230">
        <v>1881</v>
      </c>
      <c r="I63" s="230"/>
      <c r="J63" s="230"/>
      <c r="K63" s="230"/>
      <c r="L63" s="233"/>
    </row>
    <row r="64" spans="1:13" s="242" customFormat="1" ht="12.75">
      <c r="A64" s="2162"/>
      <c r="B64" s="2178"/>
      <c r="C64" s="2181"/>
      <c r="D64" s="229">
        <v>4170</v>
      </c>
      <c r="E64" s="230">
        <f t="shared" si="19"/>
        <v>3000</v>
      </c>
      <c r="F64" s="230">
        <f t="shared" si="22"/>
        <v>3000</v>
      </c>
      <c r="G64" s="230">
        <f t="shared" si="23"/>
        <v>3000</v>
      </c>
      <c r="H64" s="230">
        <v>3000</v>
      </c>
      <c r="I64" s="230"/>
      <c r="J64" s="230"/>
      <c r="K64" s="230"/>
      <c r="L64" s="233"/>
    </row>
    <row r="65" spans="1:13" s="242" customFormat="1" ht="12.75">
      <c r="A65" s="2162"/>
      <c r="B65" s="2178"/>
      <c r="C65" s="2181"/>
      <c r="D65" s="229">
        <v>4210</v>
      </c>
      <c r="E65" s="230">
        <f t="shared" si="19"/>
        <v>80000</v>
      </c>
      <c r="F65" s="230">
        <f t="shared" si="22"/>
        <v>80000</v>
      </c>
      <c r="G65" s="230">
        <f t="shared" si="23"/>
        <v>80000</v>
      </c>
      <c r="H65" s="230"/>
      <c r="I65" s="230">
        <v>80000</v>
      </c>
      <c r="J65" s="230"/>
      <c r="K65" s="230"/>
      <c r="L65" s="233"/>
    </row>
    <row r="66" spans="1:13" s="242" customFormat="1" ht="12.75">
      <c r="A66" s="2162"/>
      <c r="B66" s="2178"/>
      <c r="C66" s="2181"/>
      <c r="D66" s="229">
        <v>4300</v>
      </c>
      <c r="E66" s="230">
        <f t="shared" si="19"/>
        <v>15000</v>
      </c>
      <c r="F66" s="230">
        <f t="shared" si="22"/>
        <v>15000</v>
      </c>
      <c r="G66" s="230">
        <f t="shared" si="23"/>
        <v>15000</v>
      </c>
      <c r="H66" s="230"/>
      <c r="I66" s="230">
        <v>15000</v>
      </c>
      <c r="J66" s="230"/>
      <c r="K66" s="230"/>
      <c r="L66" s="233"/>
    </row>
    <row r="67" spans="1:13" s="242" customFormat="1" ht="12.75">
      <c r="A67" s="2162"/>
      <c r="B67" s="2178"/>
      <c r="C67" s="2181"/>
      <c r="D67" s="229">
        <v>4410</v>
      </c>
      <c r="E67" s="230">
        <f t="shared" si="19"/>
        <v>5000</v>
      </c>
      <c r="F67" s="230">
        <f t="shared" si="22"/>
        <v>5000</v>
      </c>
      <c r="G67" s="230">
        <f t="shared" si="23"/>
        <v>5000</v>
      </c>
      <c r="H67" s="230"/>
      <c r="I67" s="230">
        <v>5000</v>
      </c>
      <c r="J67" s="230"/>
      <c r="K67" s="230"/>
      <c r="L67" s="233"/>
      <c r="M67" s="241"/>
    </row>
    <row r="68" spans="1:13" s="242" customFormat="1" ht="12.75">
      <c r="A68" s="2163"/>
      <c r="B68" s="2179"/>
      <c r="C68" s="2182"/>
      <c r="D68" s="229">
        <v>4700</v>
      </c>
      <c r="E68" s="230">
        <f t="shared" si="19"/>
        <v>5000</v>
      </c>
      <c r="F68" s="230">
        <f t="shared" si="22"/>
        <v>5000</v>
      </c>
      <c r="G68" s="230">
        <f t="shared" si="23"/>
        <v>5000</v>
      </c>
      <c r="H68" s="230"/>
      <c r="I68" s="230">
        <v>5000</v>
      </c>
      <c r="J68" s="230"/>
      <c r="K68" s="230"/>
      <c r="L68" s="233"/>
    </row>
    <row r="69" spans="1:13" ht="12.75">
      <c r="A69" s="2173" t="s">
        <v>127</v>
      </c>
      <c r="B69" s="2176" t="s">
        <v>236</v>
      </c>
      <c r="C69" s="2176"/>
      <c r="D69" s="239"/>
      <c r="E69" s="235">
        <f>SUM(E70:E72)</f>
        <v>97000</v>
      </c>
      <c r="F69" s="235">
        <f>SUM(F70:F72)</f>
        <v>57000</v>
      </c>
      <c r="G69" s="235">
        <f>SUM(H69:I69)</f>
        <v>57000</v>
      </c>
      <c r="H69" s="235">
        <f>H71+H72</f>
        <v>27200</v>
      </c>
      <c r="I69" s="235">
        <f>I71+I72</f>
        <v>29800</v>
      </c>
      <c r="J69" s="235"/>
      <c r="K69" s="235"/>
      <c r="L69" s="236">
        <f>SUM(L70,L71,L72)</f>
        <v>40000</v>
      </c>
    </row>
    <row r="70" spans="1:13" ht="20.25" customHeight="1">
      <c r="A70" s="2174"/>
      <c r="B70" s="237" t="s">
        <v>237</v>
      </c>
      <c r="C70" s="212" t="s">
        <v>238</v>
      </c>
      <c r="D70" s="212">
        <v>6220</v>
      </c>
      <c r="E70" s="225">
        <f t="shared" ref="E70:E71" si="24">SUM(F70,L70)</f>
        <v>40000</v>
      </c>
      <c r="F70" s="225"/>
      <c r="G70" s="225"/>
      <c r="H70" s="225"/>
      <c r="I70" s="225"/>
      <c r="J70" s="225"/>
      <c r="K70" s="225"/>
      <c r="L70" s="227">
        <v>40000</v>
      </c>
    </row>
    <row r="71" spans="1:13" ht="84.75" customHeight="1">
      <c r="A71" s="2174"/>
      <c r="B71" s="237" t="s">
        <v>239</v>
      </c>
      <c r="C71" s="212" t="s">
        <v>257</v>
      </c>
      <c r="D71" s="212">
        <v>4130</v>
      </c>
      <c r="E71" s="225">
        <f t="shared" si="24"/>
        <v>27000</v>
      </c>
      <c r="F71" s="225">
        <f>SUM(G71,J71,K71)</f>
        <v>27000</v>
      </c>
      <c r="G71" s="225">
        <f t="shared" si="21"/>
        <v>27000</v>
      </c>
      <c r="H71" s="225"/>
      <c r="I71" s="225">
        <v>27000</v>
      </c>
      <c r="J71" s="225"/>
      <c r="K71" s="225"/>
      <c r="L71" s="227"/>
    </row>
    <row r="72" spans="1:13" ht="24" customHeight="1">
      <c r="A72" s="2174"/>
      <c r="B72" s="2177" t="s">
        <v>241</v>
      </c>
      <c r="C72" s="2180" t="s">
        <v>213</v>
      </c>
      <c r="D72" s="212" t="s">
        <v>255</v>
      </c>
      <c r="E72" s="225">
        <f>SUM(F72,L72)</f>
        <v>30000</v>
      </c>
      <c r="F72" s="225">
        <f>SUM(G72,J72,K72)</f>
        <v>30000</v>
      </c>
      <c r="G72" s="225">
        <f t="shared" si="21"/>
        <v>30000</v>
      </c>
      <c r="H72" s="225">
        <f>SUM(H73:H74)</f>
        <v>27200</v>
      </c>
      <c r="I72" s="225">
        <f>SUM(I73:I74)</f>
        <v>2800</v>
      </c>
      <c r="J72" s="226"/>
      <c r="K72" s="226"/>
      <c r="L72" s="238"/>
    </row>
    <row r="73" spans="1:13" ht="12.75">
      <c r="A73" s="2174"/>
      <c r="B73" s="2178"/>
      <c r="C73" s="2181"/>
      <c r="D73" s="229">
        <v>4170</v>
      </c>
      <c r="E73" s="230">
        <f>SUM(F73,L73)</f>
        <v>27200</v>
      </c>
      <c r="F73" s="230">
        <f>SUM(G73,J73,K73)</f>
        <v>27200</v>
      </c>
      <c r="G73" s="230">
        <f t="shared" si="21"/>
        <v>27200</v>
      </c>
      <c r="H73" s="230">
        <v>27200</v>
      </c>
      <c r="I73" s="230"/>
      <c r="J73" s="230"/>
      <c r="K73" s="230"/>
      <c r="L73" s="233"/>
    </row>
    <row r="74" spans="1:13" ht="12.75">
      <c r="A74" s="2175"/>
      <c r="B74" s="2179"/>
      <c r="C74" s="2182"/>
      <c r="D74" s="229">
        <v>4300</v>
      </c>
      <c r="E74" s="230">
        <f t="shared" ref="E74" si="25">SUM(F74,L74)</f>
        <v>2800</v>
      </c>
      <c r="F74" s="230">
        <f t="shared" ref="F74" si="26">SUM(G74,J74,K74)</f>
        <v>2800</v>
      </c>
      <c r="G74" s="230">
        <f t="shared" si="21"/>
        <v>2800</v>
      </c>
      <c r="H74" s="230"/>
      <c r="I74" s="230">
        <v>2800</v>
      </c>
      <c r="J74" s="230"/>
      <c r="K74" s="230"/>
      <c r="L74" s="233"/>
    </row>
    <row r="75" spans="1:13" ht="32.25" customHeight="1">
      <c r="A75" s="2161" t="s">
        <v>133</v>
      </c>
      <c r="B75" s="2184" t="s">
        <v>242</v>
      </c>
      <c r="C75" s="2184"/>
      <c r="D75" s="243"/>
      <c r="E75" s="223">
        <f>SUM(F75,L75)</f>
        <v>2000</v>
      </c>
      <c r="F75" s="223">
        <f t="shared" ref="F75:K75" si="27">SUM(F76)</f>
        <v>2000</v>
      </c>
      <c r="G75" s="223">
        <f>SUM(H75:I75)</f>
        <v>1740</v>
      </c>
      <c r="H75" s="223">
        <f>SUM(H76)</f>
        <v>1240</v>
      </c>
      <c r="I75" s="223">
        <f t="shared" si="27"/>
        <v>500</v>
      </c>
      <c r="J75" s="223"/>
      <c r="K75" s="223">
        <f t="shared" si="27"/>
        <v>260</v>
      </c>
      <c r="L75" s="224"/>
    </row>
    <row r="76" spans="1:13" s="242" customFormat="1" ht="30.75" customHeight="1">
      <c r="A76" s="2162"/>
      <c r="B76" s="2177" t="s">
        <v>243</v>
      </c>
      <c r="C76" s="2186" t="s">
        <v>244</v>
      </c>
      <c r="D76" s="244" t="s">
        <v>255</v>
      </c>
      <c r="E76" s="225">
        <f>SUM(F76,L76)</f>
        <v>2000</v>
      </c>
      <c r="F76" s="225">
        <f>SUM(G76,J76,K76)</f>
        <v>2000</v>
      </c>
      <c r="G76" s="225">
        <f>SUM(H76:I76)</f>
        <v>1740</v>
      </c>
      <c r="H76" s="225">
        <f>SUM(H77:H79)</f>
        <v>1240</v>
      </c>
      <c r="I76" s="225">
        <f>SUM(I77:I79)</f>
        <v>500</v>
      </c>
      <c r="J76" s="225"/>
      <c r="K76" s="225">
        <f t="shared" ref="K76" si="28">SUM(K77:K79)</f>
        <v>260</v>
      </c>
      <c r="L76" s="227"/>
    </row>
    <row r="77" spans="1:13" s="242" customFormat="1" ht="12.75">
      <c r="A77" s="2162"/>
      <c r="B77" s="2178"/>
      <c r="C77" s="2187"/>
      <c r="D77" s="245">
        <v>3030</v>
      </c>
      <c r="E77" s="230">
        <f>SUM(F77,L77)</f>
        <v>260</v>
      </c>
      <c r="F77" s="230">
        <f>SUM(G77,J77,K77)</f>
        <v>260</v>
      </c>
      <c r="G77" s="230"/>
      <c r="H77" s="230"/>
      <c r="I77" s="230"/>
      <c r="J77" s="230"/>
      <c r="K77" s="230">
        <v>260</v>
      </c>
      <c r="L77" s="233"/>
    </row>
    <row r="78" spans="1:13" s="242" customFormat="1" ht="12.75">
      <c r="A78" s="2162"/>
      <c r="B78" s="2178"/>
      <c r="C78" s="2187"/>
      <c r="D78" s="245">
        <v>4170</v>
      </c>
      <c r="E78" s="230">
        <f t="shared" ref="E78:E99" si="29">SUM(F78,L78)</f>
        <v>1240</v>
      </c>
      <c r="F78" s="230">
        <f t="shared" ref="F78:F79" si="30">SUM(G78,J78,K78)</f>
        <v>1240</v>
      </c>
      <c r="G78" s="230">
        <f t="shared" ref="G78:G79" si="31">SUM(H78:I78)</f>
        <v>1240</v>
      </c>
      <c r="H78" s="230">
        <v>1240</v>
      </c>
      <c r="I78" s="230"/>
      <c r="J78" s="230"/>
      <c r="K78" s="230"/>
      <c r="L78" s="233"/>
    </row>
    <row r="79" spans="1:13" s="242" customFormat="1" ht="13.5" thickBot="1">
      <c r="A79" s="2183"/>
      <c r="B79" s="2185"/>
      <c r="C79" s="2188"/>
      <c r="D79" s="246">
        <v>4210</v>
      </c>
      <c r="E79" s="247">
        <f t="shared" si="29"/>
        <v>500</v>
      </c>
      <c r="F79" s="247">
        <f t="shared" si="30"/>
        <v>500</v>
      </c>
      <c r="G79" s="247">
        <f t="shared" si="31"/>
        <v>500</v>
      </c>
      <c r="H79" s="247"/>
      <c r="I79" s="247">
        <v>500</v>
      </c>
      <c r="J79" s="247"/>
      <c r="K79" s="247"/>
      <c r="L79" s="248"/>
      <c r="M79" s="241"/>
    </row>
    <row r="80" spans="1:13" ht="25.5" customHeight="1">
      <c r="A80" s="2169" t="s">
        <v>174</v>
      </c>
      <c r="B80" s="2189" t="s">
        <v>181</v>
      </c>
      <c r="C80" s="2189"/>
      <c r="D80" s="249"/>
      <c r="E80" s="250">
        <f t="shared" si="29"/>
        <v>750000</v>
      </c>
      <c r="F80" s="250">
        <f>SUM(G80,J80,K80)</f>
        <v>750000</v>
      </c>
      <c r="G80" s="250">
        <f>SUM(H80:I80)</f>
        <v>748000</v>
      </c>
      <c r="H80" s="250">
        <f>SUM(H81)</f>
        <v>638887</v>
      </c>
      <c r="I80" s="250">
        <f>SUM(I81)</f>
        <v>109113</v>
      </c>
      <c r="J80" s="250"/>
      <c r="K80" s="250">
        <f>SUM(K81)</f>
        <v>2000</v>
      </c>
      <c r="L80" s="251"/>
    </row>
    <row r="81" spans="1:13" ht="31.5" customHeight="1">
      <c r="A81" s="2162"/>
      <c r="B81" s="2177" t="s">
        <v>245</v>
      </c>
      <c r="C81" s="2180" t="s">
        <v>258</v>
      </c>
      <c r="D81" s="212" t="s">
        <v>255</v>
      </c>
      <c r="E81" s="225">
        <f t="shared" si="29"/>
        <v>750000</v>
      </c>
      <c r="F81" s="225">
        <f>SUM(G81,J81,K81)</f>
        <v>750000</v>
      </c>
      <c r="G81" s="225">
        <f>SUM(H81:I81)</f>
        <v>748000</v>
      </c>
      <c r="H81" s="225">
        <f>SUM(H82:H99)</f>
        <v>638887</v>
      </c>
      <c r="I81" s="225">
        <f>SUM(I82:I99)</f>
        <v>109113</v>
      </c>
      <c r="J81" s="225">
        <f>SUM(J82:J99)</f>
        <v>0</v>
      </c>
      <c r="K81" s="225">
        <f>SUM(K82:K99)</f>
        <v>2000</v>
      </c>
      <c r="L81" s="227">
        <f>SUM(L82:L99)</f>
        <v>0</v>
      </c>
      <c r="M81" s="197"/>
    </row>
    <row r="82" spans="1:13" ht="16.5" customHeight="1">
      <c r="A82" s="2162"/>
      <c r="B82" s="2178"/>
      <c r="C82" s="2181"/>
      <c r="D82" s="229">
        <v>3020</v>
      </c>
      <c r="E82" s="230">
        <f t="shared" si="29"/>
        <v>2000</v>
      </c>
      <c r="F82" s="230">
        <f>SUM(G82,J82,K82)</f>
        <v>2000</v>
      </c>
      <c r="G82" s="230"/>
      <c r="H82" s="230"/>
      <c r="I82" s="230"/>
      <c r="J82" s="230"/>
      <c r="K82" s="230">
        <v>2000</v>
      </c>
      <c r="L82" s="233"/>
      <c r="M82" s="197"/>
    </row>
    <row r="83" spans="1:13" ht="15" customHeight="1">
      <c r="A83" s="2162"/>
      <c r="B83" s="2178"/>
      <c r="C83" s="2181"/>
      <c r="D83" s="229">
        <v>4010</v>
      </c>
      <c r="E83" s="230">
        <f t="shared" si="29"/>
        <v>484355</v>
      </c>
      <c r="F83" s="230">
        <f>SUM(G83,J83,K83)</f>
        <v>484355</v>
      </c>
      <c r="G83" s="230">
        <f>SUM(H83:I83)</f>
        <v>484355</v>
      </c>
      <c r="H83" s="230">
        <v>484355</v>
      </c>
      <c r="I83" s="230"/>
      <c r="J83" s="230"/>
      <c r="K83" s="230"/>
      <c r="L83" s="233"/>
    </row>
    <row r="84" spans="1:13" ht="15" customHeight="1">
      <c r="A84" s="2162"/>
      <c r="B84" s="2178"/>
      <c r="C84" s="2181"/>
      <c r="D84" s="229">
        <v>4040</v>
      </c>
      <c r="E84" s="230">
        <f t="shared" si="29"/>
        <v>56480</v>
      </c>
      <c r="F84" s="230">
        <f t="shared" ref="F84:F99" si="32">SUM(G84,J84,K84)</f>
        <v>56480</v>
      </c>
      <c r="G84" s="230">
        <f t="shared" ref="G84:G99" si="33">SUM(H84:I84)</f>
        <v>56480</v>
      </c>
      <c r="H84" s="230">
        <v>56480</v>
      </c>
      <c r="I84" s="230"/>
      <c r="J84" s="230"/>
      <c r="K84" s="230"/>
      <c r="L84" s="233"/>
    </row>
    <row r="85" spans="1:13" ht="15" customHeight="1">
      <c r="A85" s="2162"/>
      <c r="B85" s="2178"/>
      <c r="C85" s="2181"/>
      <c r="D85" s="229">
        <v>4110</v>
      </c>
      <c r="E85" s="230">
        <f t="shared" si="29"/>
        <v>85656</v>
      </c>
      <c r="F85" s="230">
        <f t="shared" si="32"/>
        <v>85656</v>
      </c>
      <c r="G85" s="230">
        <f t="shared" si="33"/>
        <v>85656</v>
      </c>
      <c r="H85" s="230">
        <v>85656</v>
      </c>
      <c r="I85" s="230"/>
      <c r="J85" s="230"/>
      <c r="K85" s="230"/>
      <c r="L85" s="233"/>
    </row>
    <row r="86" spans="1:13" ht="15" customHeight="1">
      <c r="A86" s="2162"/>
      <c r="B86" s="2178"/>
      <c r="C86" s="2181"/>
      <c r="D86" s="229">
        <v>4120</v>
      </c>
      <c r="E86" s="230">
        <f t="shared" si="29"/>
        <v>12396</v>
      </c>
      <c r="F86" s="230">
        <f t="shared" si="32"/>
        <v>12396</v>
      </c>
      <c r="G86" s="230">
        <f t="shared" si="33"/>
        <v>12396</v>
      </c>
      <c r="H86" s="230">
        <v>12396</v>
      </c>
      <c r="I86" s="230"/>
      <c r="J86" s="230"/>
      <c r="K86" s="230"/>
      <c r="L86" s="233"/>
    </row>
    <row r="87" spans="1:13" ht="15" customHeight="1">
      <c r="A87" s="2162"/>
      <c r="B87" s="2178"/>
      <c r="C87" s="2181"/>
      <c r="D87" s="229">
        <v>4140</v>
      </c>
      <c r="E87" s="230">
        <f t="shared" si="29"/>
        <v>700</v>
      </c>
      <c r="F87" s="230">
        <f t="shared" si="32"/>
        <v>700</v>
      </c>
      <c r="G87" s="230">
        <f t="shared" si="33"/>
        <v>700</v>
      </c>
      <c r="H87" s="230"/>
      <c r="I87" s="230">
        <v>700</v>
      </c>
      <c r="J87" s="230"/>
      <c r="K87" s="230"/>
      <c r="L87" s="233"/>
    </row>
    <row r="88" spans="1:13" ht="15" customHeight="1">
      <c r="A88" s="2162"/>
      <c r="B88" s="2178"/>
      <c r="C88" s="2181"/>
      <c r="D88" s="229">
        <v>4210</v>
      </c>
      <c r="E88" s="230">
        <f t="shared" si="29"/>
        <v>10540</v>
      </c>
      <c r="F88" s="230">
        <f t="shared" si="32"/>
        <v>10540</v>
      </c>
      <c r="G88" s="230">
        <f t="shared" si="33"/>
        <v>10540</v>
      </c>
      <c r="H88" s="230"/>
      <c r="I88" s="230">
        <v>10540</v>
      </c>
      <c r="J88" s="230"/>
      <c r="K88" s="230"/>
      <c r="L88" s="233"/>
    </row>
    <row r="89" spans="1:13" ht="15" customHeight="1">
      <c r="A89" s="2162"/>
      <c r="B89" s="2178"/>
      <c r="C89" s="2181"/>
      <c r="D89" s="229">
        <v>4220</v>
      </c>
      <c r="E89" s="230">
        <f t="shared" si="29"/>
        <v>1250</v>
      </c>
      <c r="F89" s="230">
        <f t="shared" si="32"/>
        <v>1250</v>
      </c>
      <c r="G89" s="230">
        <f t="shared" si="33"/>
        <v>1250</v>
      </c>
      <c r="H89" s="230"/>
      <c r="I89" s="230">
        <v>1250</v>
      </c>
      <c r="J89" s="230"/>
      <c r="K89" s="230"/>
      <c r="L89" s="233"/>
    </row>
    <row r="90" spans="1:13" ht="15" customHeight="1">
      <c r="A90" s="2162"/>
      <c r="B90" s="2178"/>
      <c r="C90" s="2181"/>
      <c r="D90" s="229">
        <v>4260</v>
      </c>
      <c r="E90" s="230">
        <f t="shared" si="29"/>
        <v>6100</v>
      </c>
      <c r="F90" s="230">
        <f t="shared" si="32"/>
        <v>6100</v>
      </c>
      <c r="G90" s="230">
        <f t="shared" si="33"/>
        <v>6100</v>
      </c>
      <c r="H90" s="230"/>
      <c r="I90" s="230">
        <v>6100</v>
      </c>
      <c r="J90" s="230"/>
      <c r="K90" s="230"/>
      <c r="L90" s="233"/>
    </row>
    <row r="91" spans="1:13" ht="15" customHeight="1">
      <c r="A91" s="2162"/>
      <c r="B91" s="2178"/>
      <c r="C91" s="2181"/>
      <c r="D91" s="229">
        <v>4270</v>
      </c>
      <c r="E91" s="230">
        <f t="shared" si="29"/>
        <v>806</v>
      </c>
      <c r="F91" s="230">
        <f t="shared" si="32"/>
        <v>806</v>
      </c>
      <c r="G91" s="230">
        <f t="shared" si="33"/>
        <v>806</v>
      </c>
      <c r="H91" s="230"/>
      <c r="I91" s="230">
        <v>806</v>
      </c>
      <c r="J91" s="230"/>
      <c r="K91" s="230"/>
      <c r="L91" s="233"/>
    </row>
    <row r="92" spans="1:13" ht="15" customHeight="1">
      <c r="A92" s="2162"/>
      <c r="B92" s="2178"/>
      <c r="C92" s="2181"/>
      <c r="D92" s="229">
        <v>4280</v>
      </c>
      <c r="E92" s="230">
        <f t="shared" si="29"/>
        <v>600</v>
      </c>
      <c r="F92" s="230">
        <f t="shared" si="32"/>
        <v>600</v>
      </c>
      <c r="G92" s="230">
        <f t="shared" si="33"/>
        <v>600</v>
      </c>
      <c r="H92" s="230"/>
      <c r="I92" s="230">
        <v>600</v>
      </c>
      <c r="J92" s="230"/>
      <c r="K92" s="230"/>
      <c r="L92" s="233"/>
    </row>
    <row r="93" spans="1:13" ht="15" customHeight="1">
      <c r="A93" s="2162"/>
      <c r="B93" s="2178"/>
      <c r="C93" s="2181"/>
      <c r="D93" s="229">
        <v>4300</v>
      </c>
      <c r="E93" s="230">
        <f t="shared" si="29"/>
        <v>48000</v>
      </c>
      <c r="F93" s="230">
        <f t="shared" si="32"/>
        <v>48000</v>
      </c>
      <c r="G93" s="230">
        <f t="shared" si="33"/>
        <v>48000</v>
      </c>
      <c r="H93" s="230"/>
      <c r="I93" s="230">
        <v>48000</v>
      </c>
      <c r="J93" s="230"/>
      <c r="K93" s="230"/>
      <c r="L93" s="233"/>
    </row>
    <row r="94" spans="1:13" ht="15" customHeight="1">
      <c r="A94" s="2162"/>
      <c r="B94" s="2178"/>
      <c r="C94" s="2181"/>
      <c r="D94" s="229">
        <v>4360</v>
      </c>
      <c r="E94" s="230">
        <f t="shared" si="29"/>
        <v>2850</v>
      </c>
      <c r="F94" s="230">
        <f t="shared" si="32"/>
        <v>2850</v>
      </c>
      <c r="G94" s="230">
        <f t="shared" si="33"/>
        <v>2850</v>
      </c>
      <c r="H94" s="230"/>
      <c r="I94" s="230">
        <v>2850</v>
      </c>
      <c r="J94" s="230"/>
      <c r="K94" s="230"/>
      <c r="L94" s="233"/>
    </row>
    <row r="95" spans="1:13" ht="15" customHeight="1">
      <c r="A95" s="2162"/>
      <c r="B95" s="2178"/>
      <c r="C95" s="2181"/>
      <c r="D95" s="229">
        <v>4410</v>
      </c>
      <c r="E95" s="230">
        <f t="shared" si="29"/>
        <v>7500</v>
      </c>
      <c r="F95" s="230">
        <f t="shared" si="32"/>
        <v>7500</v>
      </c>
      <c r="G95" s="230">
        <f t="shared" si="33"/>
        <v>7500</v>
      </c>
      <c r="H95" s="230"/>
      <c r="I95" s="230">
        <v>7500</v>
      </c>
      <c r="J95" s="230"/>
      <c r="K95" s="230"/>
      <c r="L95" s="233"/>
    </row>
    <row r="96" spans="1:13" ht="15" customHeight="1">
      <c r="A96" s="2162"/>
      <c r="B96" s="2178"/>
      <c r="C96" s="2181"/>
      <c r="D96" s="229">
        <v>4440</v>
      </c>
      <c r="E96" s="230">
        <f t="shared" si="29"/>
        <v>21939</v>
      </c>
      <c r="F96" s="230">
        <f t="shared" si="32"/>
        <v>21939</v>
      </c>
      <c r="G96" s="230">
        <f t="shared" si="33"/>
        <v>21939</v>
      </c>
      <c r="H96" s="230"/>
      <c r="I96" s="230">
        <v>21939</v>
      </c>
      <c r="J96" s="230"/>
      <c r="K96" s="230"/>
      <c r="L96" s="233"/>
    </row>
    <row r="97" spans="1:12" ht="15" customHeight="1">
      <c r="A97" s="2162"/>
      <c r="B97" s="2178"/>
      <c r="C97" s="2181"/>
      <c r="D97" s="229">
        <v>4480</v>
      </c>
      <c r="E97" s="230">
        <f t="shared" si="29"/>
        <v>1500</v>
      </c>
      <c r="F97" s="230">
        <f t="shared" si="32"/>
        <v>1500</v>
      </c>
      <c r="G97" s="230">
        <f t="shared" si="33"/>
        <v>1500</v>
      </c>
      <c r="H97" s="230"/>
      <c r="I97" s="230">
        <v>1500</v>
      </c>
      <c r="J97" s="230"/>
      <c r="K97" s="230"/>
      <c r="L97" s="233"/>
    </row>
    <row r="98" spans="1:12" ht="15" customHeight="1">
      <c r="A98" s="2162"/>
      <c r="B98" s="2178"/>
      <c r="C98" s="2181"/>
      <c r="D98" s="229">
        <v>4520</v>
      </c>
      <c r="E98" s="230">
        <f t="shared" si="29"/>
        <v>4828</v>
      </c>
      <c r="F98" s="230">
        <f t="shared" si="32"/>
        <v>4828</v>
      </c>
      <c r="G98" s="230">
        <f t="shared" si="33"/>
        <v>4828</v>
      </c>
      <c r="H98" s="230"/>
      <c r="I98" s="230">
        <v>4828</v>
      </c>
      <c r="J98" s="230"/>
      <c r="K98" s="230"/>
      <c r="L98" s="233"/>
    </row>
    <row r="99" spans="1:12" ht="15" customHeight="1" thickBot="1">
      <c r="A99" s="2162"/>
      <c r="B99" s="2178"/>
      <c r="C99" s="2181"/>
      <c r="D99" s="229">
        <v>4700</v>
      </c>
      <c r="E99" s="230">
        <f t="shared" si="29"/>
        <v>2500</v>
      </c>
      <c r="F99" s="230">
        <f t="shared" si="32"/>
        <v>2500</v>
      </c>
      <c r="G99" s="230">
        <f t="shared" si="33"/>
        <v>2500</v>
      </c>
      <c r="H99" s="230"/>
      <c r="I99" s="230">
        <v>2500</v>
      </c>
      <c r="J99" s="230"/>
      <c r="K99" s="230"/>
      <c r="L99" s="233"/>
    </row>
    <row r="100" spans="1:12" ht="35.1" customHeight="1" thickBot="1">
      <c r="A100" s="2190" t="s">
        <v>61</v>
      </c>
      <c r="B100" s="2191"/>
      <c r="C100" s="2191"/>
      <c r="D100" s="252"/>
      <c r="E100" s="253">
        <f>SUM(E75,E80,E69,E49,E39,E27,E6,E34)</f>
        <v>66434000</v>
      </c>
      <c r="F100" s="253">
        <f>SUM(F75,F80,F69,F49,F39,F27,F6,F34)</f>
        <v>63376000</v>
      </c>
      <c r="G100" s="253">
        <f>SUM(G75,G80,G69,G49,G39,G27,G6,G34)</f>
        <v>6353740</v>
      </c>
      <c r="H100" s="253">
        <f>SUM(H75,H80,H69,H49,H39,H27,H6,H34)</f>
        <v>2925676</v>
      </c>
      <c r="I100" s="253">
        <f>SUM(I75,I80,I69,I49,I39,I27,I6,I34)</f>
        <v>3428064</v>
      </c>
      <c r="J100" s="253">
        <f t="shared" ref="J100:L100" si="34">SUM(J75,J80,J69,J49,J39,J27,J6,J34)</f>
        <v>57000000</v>
      </c>
      <c r="K100" s="253">
        <f t="shared" si="34"/>
        <v>22260</v>
      </c>
      <c r="L100" s="216">
        <f t="shared" si="34"/>
        <v>3058000</v>
      </c>
    </row>
    <row r="101" spans="1:12" ht="12.75">
      <c r="A101" s="254"/>
      <c r="B101" s="255"/>
      <c r="E101" s="197"/>
      <c r="F101" s="197"/>
      <c r="G101" s="197"/>
      <c r="H101" s="197"/>
      <c r="I101" s="197"/>
      <c r="J101" s="197"/>
      <c r="K101" s="197"/>
      <c r="L101" s="197"/>
    </row>
    <row r="102" spans="1:12" ht="12.75">
      <c r="A102" s="254"/>
      <c r="B102" s="255"/>
      <c r="E102" s="197"/>
      <c r="F102" s="197"/>
      <c r="G102" s="197"/>
      <c r="H102" s="197"/>
      <c r="I102" s="197"/>
      <c r="J102" s="197"/>
      <c r="K102" s="197"/>
      <c r="L102" s="197"/>
    </row>
    <row r="103" spans="1:12" ht="12.75">
      <c r="A103" s="254"/>
      <c r="B103" s="255"/>
      <c r="E103" s="197"/>
      <c r="F103" s="197"/>
      <c r="G103" s="197"/>
      <c r="H103" s="197"/>
      <c r="I103" s="197"/>
      <c r="J103" s="197"/>
      <c r="K103" s="197"/>
      <c r="L103" s="197"/>
    </row>
    <row r="104" spans="1:12" ht="12.75">
      <c r="A104" s="254"/>
      <c r="B104" s="255"/>
      <c r="E104" s="197"/>
      <c r="F104" s="197"/>
      <c r="G104" s="197"/>
      <c r="H104" s="197"/>
      <c r="I104" s="197"/>
      <c r="J104" s="197"/>
      <c r="K104" s="197"/>
      <c r="L104" s="197"/>
    </row>
    <row r="105" spans="1:12" ht="12.75">
      <c r="A105" s="254"/>
      <c r="B105" s="255"/>
      <c r="E105" s="197"/>
      <c r="F105" s="197"/>
      <c r="G105" s="197"/>
      <c r="H105" s="197"/>
      <c r="I105" s="197"/>
      <c r="J105" s="197"/>
      <c r="K105" s="197"/>
      <c r="L105" s="197"/>
    </row>
    <row r="106" spans="1:12" ht="12.75">
      <c r="A106" s="2171"/>
      <c r="B106" s="2172"/>
      <c r="C106" s="2172"/>
      <c r="D106" s="2172"/>
      <c r="E106" s="2172"/>
      <c r="F106" s="2172"/>
      <c r="G106" s="2172"/>
      <c r="H106" s="2172"/>
      <c r="I106" s="2172"/>
      <c r="J106" s="2172"/>
      <c r="K106" s="2172"/>
      <c r="L106" s="2172"/>
    </row>
    <row r="107" spans="1:12" ht="12.75">
      <c r="A107" s="254"/>
      <c r="B107" s="255"/>
      <c r="F107" s="197"/>
      <c r="G107" s="197"/>
      <c r="H107" s="197"/>
      <c r="I107" s="197"/>
      <c r="J107" s="197"/>
      <c r="K107" s="197"/>
      <c r="L107" s="197"/>
    </row>
    <row r="108" spans="1:12" ht="12.75">
      <c r="A108" s="254"/>
      <c r="B108" s="255"/>
      <c r="E108" s="197"/>
      <c r="F108" s="197"/>
      <c r="G108" s="197"/>
      <c r="H108" s="197"/>
      <c r="I108" s="197"/>
      <c r="J108" s="197"/>
      <c r="K108" s="197"/>
      <c r="L108" s="197"/>
    </row>
    <row r="109" spans="1:12" ht="12.75">
      <c r="A109" s="254"/>
      <c r="B109" s="255"/>
      <c r="F109" s="197"/>
      <c r="G109" s="197"/>
      <c r="H109" s="197"/>
      <c r="I109" s="197"/>
      <c r="J109" s="197"/>
      <c r="K109" s="197"/>
      <c r="L109" s="197"/>
    </row>
    <row r="110" spans="1:12" ht="12.75">
      <c r="A110" s="254"/>
      <c r="B110" s="255"/>
      <c r="F110" s="197"/>
      <c r="G110" s="197"/>
      <c r="H110" s="197"/>
      <c r="I110" s="197"/>
      <c r="J110" s="197"/>
      <c r="K110" s="197"/>
      <c r="L110" s="197"/>
    </row>
    <row r="111" spans="1:12" ht="12.75">
      <c r="A111" s="254"/>
      <c r="B111" s="255"/>
      <c r="F111" s="197"/>
      <c r="G111" s="197"/>
      <c r="H111" s="197"/>
      <c r="I111" s="197"/>
      <c r="J111" s="197"/>
      <c r="K111" s="197"/>
      <c r="L111" s="197"/>
    </row>
    <row r="112" spans="1:12" ht="12.75">
      <c r="A112" s="254"/>
      <c r="B112" s="255"/>
      <c r="F112" s="197"/>
      <c r="G112" s="197"/>
      <c r="H112" s="197"/>
      <c r="I112" s="197"/>
      <c r="J112" s="197"/>
      <c r="K112" s="197"/>
      <c r="L112" s="197"/>
    </row>
    <row r="113" spans="1:12" ht="12.75">
      <c r="A113" s="254"/>
      <c r="B113" s="255"/>
      <c r="F113" s="197"/>
      <c r="G113" s="197"/>
      <c r="H113" s="197"/>
      <c r="I113" s="197"/>
      <c r="J113" s="197"/>
      <c r="K113" s="197"/>
      <c r="L113" s="197"/>
    </row>
    <row r="114" spans="1:12" ht="12.75">
      <c r="A114" s="256"/>
      <c r="B114" s="255"/>
      <c r="F114" s="197"/>
      <c r="G114" s="197"/>
      <c r="H114" s="197"/>
      <c r="I114" s="197"/>
      <c r="J114" s="197"/>
      <c r="K114" s="197"/>
      <c r="L114" s="197"/>
    </row>
    <row r="115" spans="1:12" ht="12.75">
      <c r="A115" s="256"/>
      <c r="B115" s="255"/>
      <c r="F115" s="197"/>
      <c r="G115" s="197"/>
      <c r="H115" s="197"/>
      <c r="I115" s="197"/>
      <c r="J115" s="197"/>
      <c r="K115" s="197"/>
      <c r="L115" s="197"/>
    </row>
    <row r="116" spans="1:12" ht="12.75">
      <c r="A116" s="256"/>
      <c r="B116" s="255"/>
      <c r="F116" s="197"/>
      <c r="G116" s="197"/>
      <c r="H116" s="197"/>
      <c r="I116" s="197"/>
      <c r="J116" s="197"/>
      <c r="K116" s="197"/>
      <c r="L116" s="197"/>
    </row>
    <row r="117" spans="1:12" ht="12.75">
      <c r="A117" s="256"/>
      <c r="B117" s="255"/>
      <c r="F117" s="197"/>
      <c r="G117" s="197"/>
      <c r="H117" s="197"/>
      <c r="I117" s="197"/>
      <c r="J117" s="197"/>
      <c r="K117" s="197"/>
      <c r="L117" s="197"/>
    </row>
    <row r="118" spans="1:12" ht="12.75">
      <c r="A118" s="256"/>
      <c r="B118" s="255"/>
      <c r="F118" s="197"/>
      <c r="G118" s="197"/>
      <c r="H118" s="197"/>
      <c r="I118" s="197"/>
      <c r="J118" s="197"/>
      <c r="K118" s="197"/>
      <c r="L118" s="197"/>
    </row>
    <row r="119" spans="1:12" ht="12.75">
      <c r="A119" s="256"/>
      <c r="B119" s="255"/>
      <c r="F119" s="197"/>
      <c r="G119" s="197"/>
      <c r="H119" s="197"/>
      <c r="I119" s="197"/>
      <c r="J119" s="197"/>
      <c r="K119" s="197"/>
      <c r="L119" s="197"/>
    </row>
    <row r="120" spans="1:12" ht="12.75">
      <c r="A120" s="256"/>
      <c r="B120" s="255"/>
      <c r="F120" s="197"/>
      <c r="G120" s="197"/>
      <c r="H120" s="197"/>
      <c r="I120" s="197"/>
      <c r="J120" s="197"/>
      <c r="K120" s="197"/>
      <c r="L120" s="197"/>
    </row>
    <row r="121" spans="1:12" ht="12.75">
      <c r="A121" s="256"/>
      <c r="B121" s="255"/>
      <c r="F121" s="197"/>
      <c r="G121" s="197"/>
      <c r="H121" s="197"/>
      <c r="I121" s="197"/>
      <c r="J121" s="197"/>
      <c r="K121" s="197"/>
      <c r="L121" s="197"/>
    </row>
    <row r="122" spans="1:12" ht="12.75">
      <c r="A122" s="256"/>
      <c r="B122" s="255"/>
      <c r="F122" s="197"/>
      <c r="G122" s="197"/>
      <c r="H122" s="197"/>
      <c r="I122" s="197"/>
      <c r="J122" s="197"/>
      <c r="K122" s="197"/>
      <c r="L122" s="197"/>
    </row>
    <row r="123" spans="1:12" ht="12.75">
      <c r="A123" s="256"/>
      <c r="B123" s="255"/>
      <c r="F123" s="197"/>
      <c r="G123" s="197"/>
      <c r="H123" s="197"/>
      <c r="I123" s="197"/>
      <c r="J123" s="197"/>
      <c r="K123" s="197"/>
      <c r="L123" s="197"/>
    </row>
    <row r="124" spans="1:12" ht="12.75">
      <c r="A124" s="256"/>
      <c r="B124" s="255"/>
      <c r="F124" s="197"/>
      <c r="G124" s="197"/>
      <c r="H124" s="197"/>
      <c r="I124" s="197"/>
      <c r="J124" s="197"/>
      <c r="K124" s="197"/>
      <c r="L124" s="197"/>
    </row>
    <row r="125" spans="1:12" ht="12.75">
      <c r="A125" s="256"/>
      <c r="B125" s="255"/>
      <c r="F125" s="197"/>
      <c r="G125" s="197"/>
      <c r="H125" s="197"/>
      <c r="I125" s="197"/>
      <c r="J125" s="197"/>
      <c r="K125" s="197"/>
      <c r="L125" s="197"/>
    </row>
    <row r="126" spans="1:12" ht="12.75">
      <c r="A126" s="256"/>
      <c r="B126" s="255"/>
      <c r="F126" s="197"/>
      <c r="G126" s="197"/>
      <c r="H126" s="197"/>
      <c r="I126" s="197"/>
      <c r="J126" s="197"/>
      <c r="K126" s="197"/>
      <c r="L126" s="197"/>
    </row>
    <row r="127" spans="1:12" ht="12.75">
      <c r="A127" s="256"/>
      <c r="B127" s="255"/>
      <c r="F127" s="197"/>
      <c r="G127" s="197"/>
      <c r="H127" s="197"/>
      <c r="I127" s="197"/>
      <c r="J127" s="197"/>
      <c r="K127" s="197"/>
      <c r="L127" s="197"/>
    </row>
    <row r="128" spans="1:12" ht="12.75">
      <c r="A128" s="256"/>
      <c r="B128" s="255"/>
      <c r="F128" s="197"/>
      <c r="G128" s="197"/>
      <c r="H128" s="197"/>
      <c r="I128" s="197"/>
      <c r="J128" s="197"/>
      <c r="K128" s="197"/>
      <c r="L128" s="197"/>
    </row>
    <row r="129" spans="1:13" ht="12.75">
      <c r="A129" s="256"/>
      <c r="B129" s="255"/>
      <c r="F129" s="197"/>
      <c r="G129" s="197"/>
      <c r="H129" s="197"/>
      <c r="I129" s="197"/>
      <c r="J129" s="197"/>
      <c r="K129" s="197"/>
      <c r="L129" s="197"/>
    </row>
    <row r="130" spans="1:13" ht="12.75">
      <c r="A130" s="256"/>
    </row>
    <row r="131" spans="1:13" ht="12.75">
      <c r="A131" s="256"/>
    </row>
    <row r="132" spans="1:13" ht="12.75">
      <c r="A132" s="256"/>
    </row>
    <row r="133" spans="1:13" ht="12.75">
      <c r="A133" s="256"/>
    </row>
    <row r="134" spans="1:13" ht="12.75">
      <c r="A134" s="256"/>
    </row>
    <row r="135" spans="1:13" s="257" customFormat="1" ht="12.75">
      <c r="A135" s="256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</row>
    <row r="136" spans="1:13" s="257" customFormat="1" ht="12.75">
      <c r="A136" s="256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</row>
    <row r="137" spans="1:13" s="257" customFormat="1" ht="12.75">
      <c r="A137" s="256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</row>
    <row r="138" spans="1:13" s="257" customFormat="1" ht="12.75">
      <c r="A138" s="256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</row>
    <row r="139" spans="1:13" s="257" customFormat="1" ht="12.75">
      <c r="A139" s="256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</row>
    <row r="140" spans="1:13" s="257" customFormat="1" ht="12.75">
      <c r="A140" s="256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</row>
    <row r="141" spans="1:13" s="257" customFormat="1" ht="12.75">
      <c r="A141" s="256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</row>
    <row r="142" spans="1:13" s="257" customFormat="1" ht="12.75">
      <c r="A142" s="256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</row>
    <row r="143" spans="1:13" s="257" customFormat="1" ht="12.75">
      <c r="A143" s="256"/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</row>
    <row r="144" spans="1:13" s="257" customFormat="1" ht="12.75">
      <c r="A144" s="256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</row>
    <row r="145" spans="1:13" s="257" customFormat="1" ht="12.75">
      <c r="A145" s="256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</row>
    <row r="146" spans="1:13" s="257" customFormat="1" ht="12.75">
      <c r="A146" s="256"/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</row>
    <row r="147" spans="1:13" s="257" customFormat="1" ht="12.75">
      <c r="A147" s="256"/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</row>
    <row r="148" spans="1:13" s="257" customFormat="1" ht="12.75">
      <c r="A148" s="256"/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</row>
    <row r="149" spans="1:13" s="257" customFormat="1" ht="12.75">
      <c r="A149" s="256"/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</row>
    <row r="150" spans="1:13" s="257" customFormat="1" ht="12.75">
      <c r="A150" s="256"/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</row>
    <row r="151" spans="1:13" s="257" customFormat="1" ht="12.75">
      <c r="A151" s="256"/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  <c r="M151" s="162"/>
    </row>
    <row r="152" spans="1:13" s="257" customFormat="1" ht="12.75">
      <c r="A152" s="256"/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  <c r="M152" s="162"/>
    </row>
    <row r="153" spans="1:13" s="257" customFormat="1" ht="12.75">
      <c r="A153" s="256"/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  <c r="M153" s="162"/>
    </row>
    <row r="154" spans="1:13" s="257" customFormat="1" ht="12.75">
      <c r="A154" s="256"/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</row>
    <row r="155" spans="1:13" s="257" customFormat="1" ht="12.75">
      <c r="A155" s="256"/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</row>
    <row r="156" spans="1:13" s="257" customFormat="1" ht="12.75">
      <c r="A156" s="256"/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</row>
    <row r="157" spans="1:13" s="257" customFormat="1" ht="12.75">
      <c r="A157" s="256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</row>
    <row r="158" spans="1:13" s="257" customFormat="1" ht="12.75">
      <c r="A158" s="256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</row>
    <row r="159" spans="1:13" s="257" customFormat="1" ht="12.75">
      <c r="A159" s="256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</row>
    <row r="160" spans="1:13" s="257" customFormat="1" ht="12.75">
      <c r="A160" s="256"/>
      <c r="C160" s="162"/>
      <c r="D160" s="162"/>
      <c r="E160" s="162"/>
      <c r="F160" s="162"/>
      <c r="G160" s="162"/>
      <c r="H160" s="162"/>
      <c r="I160" s="162"/>
      <c r="J160" s="162"/>
      <c r="K160" s="162"/>
      <c r="L160" s="162"/>
      <c r="M160" s="162"/>
    </row>
    <row r="161" spans="1:13" s="257" customFormat="1" ht="12.75">
      <c r="A161" s="256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</row>
    <row r="162" spans="1:13" s="257" customFormat="1" ht="12.75">
      <c r="A162" s="256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</row>
    <row r="163" spans="1:13" s="257" customFormat="1" ht="12.75">
      <c r="A163" s="256"/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</row>
    <row r="164" spans="1:13" s="257" customFormat="1" ht="12.75">
      <c r="A164" s="256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</row>
    <row r="165" spans="1:13" s="257" customFormat="1" ht="12.75">
      <c r="A165" s="256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</row>
    <row r="166" spans="1:13" s="257" customFormat="1" ht="12.75">
      <c r="A166" s="256"/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</row>
    <row r="167" spans="1:13" s="257" customFormat="1" ht="12.75">
      <c r="A167" s="256"/>
      <c r="C167" s="162"/>
      <c r="D167" s="162"/>
      <c r="E167" s="162"/>
      <c r="F167" s="162"/>
      <c r="G167" s="162"/>
      <c r="H167" s="162"/>
      <c r="I167" s="162"/>
      <c r="J167" s="162"/>
      <c r="K167" s="162"/>
      <c r="L167" s="162"/>
      <c r="M167" s="162"/>
    </row>
    <row r="168" spans="1:13" s="257" customFormat="1" ht="12.75">
      <c r="A168" s="256"/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</row>
    <row r="169" spans="1:13" s="257" customFormat="1" ht="12.75">
      <c r="A169" s="256"/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</row>
    <row r="170" spans="1:13" s="257" customFormat="1" ht="12.75">
      <c r="A170" s="256"/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</row>
    <row r="171" spans="1:13" s="257" customFormat="1" ht="12.75">
      <c r="A171" s="256"/>
      <c r="C171" s="162"/>
      <c r="D171" s="162"/>
      <c r="E171" s="162"/>
      <c r="F171" s="162"/>
      <c r="G171" s="162"/>
      <c r="H171" s="162"/>
      <c r="I171" s="162"/>
      <c r="J171" s="162"/>
      <c r="K171" s="162"/>
      <c r="L171" s="162"/>
      <c r="M171" s="162"/>
    </row>
    <row r="172" spans="1:13" s="257" customFormat="1" ht="12.75">
      <c r="A172" s="256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</row>
    <row r="238" spans="5:5">
      <c r="E238" s="258">
        <f>115000000+12000000</f>
        <v>127000000</v>
      </c>
    </row>
    <row r="346" spans="5:5">
      <c r="E346" s="258"/>
    </row>
  </sheetData>
  <mergeCells count="56">
    <mergeCell ref="A1:L1"/>
    <mergeCell ref="A2:L2"/>
    <mergeCell ref="A3:A5"/>
    <mergeCell ref="B3:B5"/>
    <mergeCell ref="C3:C5"/>
    <mergeCell ref="D3:D5"/>
    <mergeCell ref="E3:E5"/>
    <mergeCell ref="F3:F5"/>
    <mergeCell ref="G3:K3"/>
    <mergeCell ref="L3:L5"/>
    <mergeCell ref="G4:G5"/>
    <mergeCell ref="H4:I4"/>
    <mergeCell ref="J4:J5"/>
    <mergeCell ref="K4:K5"/>
    <mergeCell ref="A6:A26"/>
    <mergeCell ref="B6:C6"/>
    <mergeCell ref="B7:B22"/>
    <mergeCell ref="C7:C22"/>
    <mergeCell ref="B23:B26"/>
    <mergeCell ref="C23:C26"/>
    <mergeCell ref="A27:A33"/>
    <mergeCell ref="B27:C27"/>
    <mergeCell ref="B30:B33"/>
    <mergeCell ref="C30:C33"/>
    <mergeCell ref="A34:A38"/>
    <mergeCell ref="B34:C34"/>
    <mergeCell ref="B35:B38"/>
    <mergeCell ref="C35:C38"/>
    <mergeCell ref="A39:A48"/>
    <mergeCell ref="B39:C39"/>
    <mergeCell ref="B40:B46"/>
    <mergeCell ref="C40:C46"/>
    <mergeCell ref="B47:B48"/>
    <mergeCell ref="C47:C48"/>
    <mergeCell ref="A49:A68"/>
    <mergeCell ref="B49:C49"/>
    <mergeCell ref="B50:B53"/>
    <mergeCell ref="C50:C53"/>
    <mergeCell ref="B54:B59"/>
    <mergeCell ref="C54:C59"/>
    <mergeCell ref="B60:B68"/>
    <mergeCell ref="C60:C68"/>
    <mergeCell ref="A106:L106"/>
    <mergeCell ref="A69:A74"/>
    <mergeCell ref="B69:C69"/>
    <mergeCell ref="B72:B74"/>
    <mergeCell ref="C72:C74"/>
    <mergeCell ref="A75:A79"/>
    <mergeCell ref="B75:C75"/>
    <mergeCell ref="B76:B79"/>
    <mergeCell ref="C76:C79"/>
    <mergeCell ref="A80:A99"/>
    <mergeCell ref="B80:C80"/>
    <mergeCell ref="B81:B99"/>
    <mergeCell ref="C81:C99"/>
    <mergeCell ref="A100:C100"/>
  </mergeCells>
  <printOptions horizontalCentered="1"/>
  <pageMargins left="0.51181102362204722" right="0.51181102362204722" top="0.74803149606299213" bottom="0.35433070866141736" header="0.31496062992125984" footer="0.31496062992125984"/>
  <pageSetup paperSize="9" scale="65" orientation="portrait" r:id="rId1"/>
  <headerFooter>
    <oddFooter>Strona &amp;P z &amp;N</oddFooter>
  </headerFooter>
  <rowBreaks count="1" manualBreakCount="1">
    <brk id="68" max="11" man="1"/>
  </rowBreaks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G293"/>
  <sheetViews>
    <sheetView view="pageBreakPreview" zoomScaleNormal="75" zoomScaleSheetLayoutView="100" workbookViewId="0">
      <selection activeCell="E1" sqref="E1:G1"/>
    </sheetView>
  </sheetViews>
  <sheetFormatPr defaultRowHeight="15.75"/>
  <cols>
    <col min="1" max="1" width="8.140625" style="259" customWidth="1"/>
    <col min="2" max="2" width="10.42578125" style="259" customWidth="1"/>
    <col min="3" max="3" width="9.42578125" style="257" customWidth="1"/>
    <col min="4" max="4" width="36.5703125" style="162" customWidth="1"/>
    <col min="5" max="5" width="12.140625" style="162" bestFit="1" customWidth="1"/>
    <col min="6" max="6" width="15.7109375" style="162" customWidth="1"/>
    <col min="7" max="7" width="16.5703125" style="162" customWidth="1"/>
    <col min="8" max="16384" width="9.140625" style="162"/>
  </cols>
  <sheetData>
    <row r="1" spans="1:7" ht="57" customHeight="1">
      <c r="A1" s="49"/>
      <c r="B1" s="49"/>
      <c r="C1" s="260"/>
      <c r="D1" s="261"/>
      <c r="E1" s="2221" t="s">
        <v>1065</v>
      </c>
      <c r="F1" s="2221"/>
      <c r="G1" s="2221"/>
    </row>
    <row r="2" spans="1:7" ht="84.75" customHeight="1" thickBot="1">
      <c r="A2" s="1980" t="s">
        <v>259</v>
      </c>
      <c r="B2" s="1980"/>
      <c r="C2" s="1980"/>
      <c r="D2" s="1980"/>
      <c r="E2" s="1980"/>
      <c r="F2" s="1980"/>
      <c r="G2" s="1980"/>
    </row>
    <row r="3" spans="1:7" ht="35.25" customHeight="1">
      <c r="A3" s="2222" t="s">
        <v>0</v>
      </c>
      <c r="B3" s="2224" t="s">
        <v>1</v>
      </c>
      <c r="C3" s="2224" t="s">
        <v>5</v>
      </c>
      <c r="D3" s="2226" t="s">
        <v>64</v>
      </c>
      <c r="E3" s="2228" t="s">
        <v>260</v>
      </c>
      <c r="F3" s="2229" t="s">
        <v>261</v>
      </c>
      <c r="G3" s="2230"/>
    </row>
    <row r="4" spans="1:7" ht="28.5" customHeight="1" thickBot="1">
      <c r="A4" s="2223"/>
      <c r="B4" s="2225"/>
      <c r="C4" s="2225"/>
      <c r="D4" s="2227"/>
      <c r="E4" s="2225"/>
      <c r="F4" s="262" t="s">
        <v>262</v>
      </c>
      <c r="G4" s="263" t="s">
        <v>263</v>
      </c>
    </row>
    <row r="5" spans="1:7" ht="31.5" customHeight="1" thickBot="1">
      <c r="A5" s="2210" t="s">
        <v>116</v>
      </c>
      <c r="B5" s="2213" t="s">
        <v>218</v>
      </c>
      <c r="C5" s="2214"/>
      <c r="D5" s="2215"/>
      <c r="E5" s="264">
        <f>SUM(E6)</f>
        <v>83158</v>
      </c>
      <c r="F5" s="265">
        <f>SUM(F6)</f>
        <v>79000</v>
      </c>
      <c r="G5" s="266">
        <f>SUM(G6)</f>
        <v>4158</v>
      </c>
    </row>
    <row r="6" spans="1:7" ht="29.25" customHeight="1">
      <c r="A6" s="2211"/>
      <c r="B6" s="2216" t="s">
        <v>219</v>
      </c>
      <c r="C6" s="2219" t="s">
        <v>220</v>
      </c>
      <c r="D6" s="2220"/>
      <c r="E6" s="267">
        <f>SUM(E7:E8)</f>
        <v>83158</v>
      </c>
      <c r="F6" s="268">
        <f>SUM(F7:F8)</f>
        <v>79000</v>
      </c>
      <c r="G6" s="269">
        <f>SUM(G7:G8)</f>
        <v>4158</v>
      </c>
    </row>
    <row r="7" spans="1:7" ht="27.75" customHeight="1">
      <c r="A7" s="2211"/>
      <c r="B7" s="2217"/>
      <c r="C7" s="270">
        <v>2350</v>
      </c>
      <c r="D7" s="271"/>
      <c r="E7" s="272">
        <f>F7+G7</f>
        <v>79000</v>
      </c>
      <c r="F7" s="273">
        <v>79000</v>
      </c>
      <c r="G7" s="274"/>
    </row>
    <row r="8" spans="1:7" ht="27.75" customHeight="1" thickBot="1">
      <c r="A8" s="2212"/>
      <c r="B8" s="2218"/>
      <c r="C8" s="275">
        <v>2360</v>
      </c>
      <c r="D8" s="276"/>
      <c r="E8" s="272">
        <f>F8+G8</f>
        <v>4158</v>
      </c>
      <c r="F8" s="277"/>
      <c r="G8" s="278">
        <v>4158</v>
      </c>
    </row>
    <row r="9" spans="1:7" ht="31.5" customHeight="1" thickBot="1">
      <c r="A9" s="2210" t="s">
        <v>264</v>
      </c>
      <c r="B9" s="2213" t="s">
        <v>265</v>
      </c>
      <c r="C9" s="2214"/>
      <c r="D9" s="2215"/>
      <c r="E9" s="264">
        <f>SUM(E10)</f>
        <v>27368</v>
      </c>
      <c r="F9" s="265">
        <f>SUM(F10)</f>
        <v>26000</v>
      </c>
      <c r="G9" s="266">
        <f>SUM(G10)</f>
        <v>1368</v>
      </c>
    </row>
    <row r="10" spans="1:7" ht="29.25" customHeight="1">
      <c r="A10" s="2211"/>
      <c r="B10" s="2216" t="s">
        <v>266</v>
      </c>
      <c r="C10" s="2219" t="s">
        <v>213</v>
      </c>
      <c r="D10" s="2220"/>
      <c r="E10" s="267">
        <f>SUM(E11:E12)</f>
        <v>27368</v>
      </c>
      <c r="F10" s="268">
        <f>SUM(F11:F12)</f>
        <v>26000</v>
      </c>
      <c r="G10" s="269">
        <f>SUM(G11:G12)</f>
        <v>1368</v>
      </c>
    </row>
    <row r="11" spans="1:7" ht="27.75" customHeight="1">
      <c r="A11" s="2211"/>
      <c r="B11" s="2217"/>
      <c r="C11" s="279">
        <v>2350</v>
      </c>
      <c r="D11" s="271"/>
      <c r="E11" s="272">
        <f>F11+G11</f>
        <v>26000</v>
      </c>
      <c r="F11" s="273">
        <v>26000</v>
      </c>
      <c r="G11" s="274"/>
    </row>
    <row r="12" spans="1:7" ht="27.75" customHeight="1" thickBot="1">
      <c r="A12" s="2212"/>
      <c r="B12" s="2218"/>
      <c r="C12" s="280">
        <v>2360</v>
      </c>
      <c r="D12" s="276"/>
      <c r="E12" s="272">
        <f>F12+G12</f>
        <v>1368</v>
      </c>
      <c r="F12" s="277"/>
      <c r="G12" s="278">
        <v>1368</v>
      </c>
    </row>
    <row r="13" spans="1:7" ht="31.5" customHeight="1" thickBot="1">
      <c r="A13" s="2210" t="s">
        <v>7</v>
      </c>
      <c r="B13" s="2213" t="s">
        <v>141</v>
      </c>
      <c r="C13" s="2214"/>
      <c r="D13" s="2215"/>
      <c r="E13" s="264">
        <f>SUM(E14)</f>
        <v>68421</v>
      </c>
      <c r="F13" s="265">
        <f>SUM(F14)</f>
        <v>65000</v>
      </c>
      <c r="G13" s="266">
        <f>SUM(G14)</f>
        <v>3421</v>
      </c>
    </row>
    <row r="14" spans="1:7" ht="29.25" customHeight="1">
      <c r="A14" s="2211"/>
      <c r="B14" s="2216" t="s">
        <v>222</v>
      </c>
      <c r="C14" s="2219" t="s">
        <v>213</v>
      </c>
      <c r="D14" s="2220"/>
      <c r="E14" s="267">
        <f>SUM(E15:E16)</f>
        <v>68421</v>
      </c>
      <c r="F14" s="268">
        <f>SUM(F15:F16)</f>
        <v>65000</v>
      </c>
      <c r="G14" s="269">
        <f>SUM(G15:G16)</f>
        <v>3421</v>
      </c>
    </row>
    <row r="15" spans="1:7" ht="27.75" customHeight="1">
      <c r="A15" s="2211"/>
      <c r="B15" s="2217"/>
      <c r="C15" s="279">
        <v>2350</v>
      </c>
      <c r="D15" s="271"/>
      <c r="E15" s="272">
        <f>F15+G15</f>
        <v>65000</v>
      </c>
      <c r="F15" s="273">
        <v>65000</v>
      </c>
      <c r="G15" s="274"/>
    </row>
    <row r="16" spans="1:7" ht="27.75" customHeight="1" thickBot="1">
      <c r="A16" s="2212"/>
      <c r="B16" s="2218"/>
      <c r="C16" s="280">
        <v>2360</v>
      </c>
      <c r="D16" s="276"/>
      <c r="E16" s="272">
        <f>F16+G16</f>
        <v>3421</v>
      </c>
      <c r="F16" s="277"/>
      <c r="G16" s="278">
        <v>3421</v>
      </c>
    </row>
    <row r="17" spans="1:7" ht="33.75" customHeight="1" thickBot="1">
      <c r="A17" s="2210" t="s">
        <v>225</v>
      </c>
      <c r="B17" s="2213" t="s">
        <v>267</v>
      </c>
      <c r="C17" s="2214"/>
      <c r="D17" s="2215"/>
      <c r="E17" s="264">
        <f>SUM(E18)</f>
        <v>14737</v>
      </c>
      <c r="F17" s="265">
        <f>SUM(F18)</f>
        <v>14000</v>
      </c>
      <c r="G17" s="266">
        <f>SUM(G18)</f>
        <v>737</v>
      </c>
    </row>
    <row r="18" spans="1:7" ht="27.75" customHeight="1">
      <c r="A18" s="2211"/>
      <c r="B18" s="2216" t="s">
        <v>268</v>
      </c>
      <c r="C18" s="2219" t="s">
        <v>269</v>
      </c>
      <c r="D18" s="2220"/>
      <c r="E18" s="267">
        <f>SUM(E19:E20)</f>
        <v>14737</v>
      </c>
      <c r="F18" s="268">
        <f>SUM(F19:F20)</f>
        <v>14000</v>
      </c>
      <c r="G18" s="269">
        <f>SUM(G19:G20)</f>
        <v>737</v>
      </c>
    </row>
    <row r="19" spans="1:7" ht="29.25" customHeight="1">
      <c r="A19" s="2211"/>
      <c r="B19" s="2217"/>
      <c r="C19" s="279">
        <v>2350</v>
      </c>
      <c r="D19" s="271"/>
      <c r="E19" s="272">
        <f>F19+G19</f>
        <v>14000</v>
      </c>
      <c r="F19" s="273">
        <v>14000</v>
      </c>
      <c r="G19" s="274"/>
    </row>
    <row r="20" spans="1:7" ht="29.25" customHeight="1" thickBot="1">
      <c r="A20" s="2212"/>
      <c r="B20" s="2218"/>
      <c r="C20" s="275">
        <v>2360</v>
      </c>
      <c r="D20" s="281"/>
      <c r="E20" s="272">
        <f>F20+G20</f>
        <v>737</v>
      </c>
      <c r="F20" s="277"/>
      <c r="G20" s="278">
        <v>737</v>
      </c>
    </row>
    <row r="21" spans="1:7" ht="33.75" customHeight="1" thickBot="1">
      <c r="A21" s="2210" t="s">
        <v>4</v>
      </c>
      <c r="B21" s="2213" t="s">
        <v>18</v>
      </c>
      <c r="C21" s="2214"/>
      <c r="D21" s="2215"/>
      <c r="E21" s="264">
        <f>SUM(E22+E25)</f>
        <v>26843</v>
      </c>
      <c r="F21" s="265">
        <f>SUM(F22+F25)</f>
        <v>25500</v>
      </c>
      <c r="G21" s="266">
        <f>SUM(G22+G25)</f>
        <v>1343</v>
      </c>
    </row>
    <row r="22" spans="1:7" ht="27" customHeight="1">
      <c r="A22" s="2211"/>
      <c r="B22" s="2216" t="s">
        <v>230</v>
      </c>
      <c r="C22" s="2219" t="s">
        <v>231</v>
      </c>
      <c r="D22" s="2220"/>
      <c r="E22" s="267">
        <f>SUM(E23:E24)</f>
        <v>5790</v>
      </c>
      <c r="F22" s="268">
        <f>SUM(F23:F24)</f>
        <v>5500</v>
      </c>
      <c r="G22" s="269">
        <f>SUM(G23:G24)</f>
        <v>290</v>
      </c>
    </row>
    <row r="23" spans="1:7" ht="29.25" customHeight="1">
      <c r="A23" s="2211"/>
      <c r="B23" s="2217"/>
      <c r="C23" s="279">
        <v>2350</v>
      </c>
      <c r="D23" s="271"/>
      <c r="E23" s="272">
        <f>F23+G23</f>
        <v>5500</v>
      </c>
      <c r="F23" s="273">
        <v>5500</v>
      </c>
      <c r="G23" s="274"/>
    </row>
    <row r="24" spans="1:7" ht="29.25" customHeight="1" thickBot="1">
      <c r="A24" s="2211"/>
      <c r="B24" s="2218"/>
      <c r="C24" s="275">
        <v>2360</v>
      </c>
      <c r="D24" s="281"/>
      <c r="E24" s="272">
        <f>F24+G24</f>
        <v>290</v>
      </c>
      <c r="F24" s="277"/>
      <c r="G24" s="278">
        <v>290</v>
      </c>
    </row>
    <row r="25" spans="1:7" ht="27" customHeight="1">
      <c r="A25" s="2211"/>
      <c r="B25" s="2216" t="s">
        <v>232</v>
      </c>
      <c r="C25" s="2219" t="s">
        <v>233</v>
      </c>
      <c r="D25" s="2220"/>
      <c r="E25" s="282">
        <f>SUM(E26:E27)</f>
        <v>21053</v>
      </c>
      <c r="F25" s="268">
        <f>SUM(F26:F27)</f>
        <v>20000</v>
      </c>
      <c r="G25" s="269">
        <f>SUM(G26:G27)</f>
        <v>1053</v>
      </c>
    </row>
    <row r="26" spans="1:7" ht="29.25" customHeight="1">
      <c r="A26" s="2211"/>
      <c r="B26" s="2217"/>
      <c r="C26" s="279">
        <v>2350</v>
      </c>
      <c r="D26" s="271"/>
      <c r="E26" s="272">
        <f>F26+G26</f>
        <v>20000</v>
      </c>
      <c r="F26" s="273">
        <v>20000</v>
      </c>
      <c r="G26" s="274"/>
    </row>
    <row r="27" spans="1:7" ht="29.25" customHeight="1" thickBot="1">
      <c r="A27" s="2212"/>
      <c r="B27" s="2218"/>
      <c r="C27" s="275">
        <v>2360</v>
      </c>
      <c r="D27" s="281"/>
      <c r="E27" s="272">
        <f>F27+G27</f>
        <v>1053</v>
      </c>
      <c r="F27" s="277"/>
      <c r="G27" s="278">
        <v>1053</v>
      </c>
    </row>
    <row r="28" spans="1:7" ht="30" customHeight="1" thickBot="1">
      <c r="A28" s="2205" t="s">
        <v>22</v>
      </c>
      <c r="B28" s="2206"/>
      <c r="C28" s="2207"/>
      <c r="D28" s="2208"/>
      <c r="E28" s="283">
        <f>SUM(E21,E17,E13,E9,E5)</f>
        <v>220527</v>
      </c>
      <c r="F28" s="284">
        <f>SUM(F21,F17,F13,F9,F5)</f>
        <v>209500</v>
      </c>
      <c r="G28" s="285">
        <f>SUM(G21,G17,G13,G9,G5)</f>
        <v>11027</v>
      </c>
    </row>
    <row r="29" spans="1:7">
      <c r="A29" s="286"/>
      <c r="B29" s="286"/>
      <c r="C29" s="287"/>
      <c r="D29" s="288"/>
      <c r="E29" s="289"/>
      <c r="F29" s="290"/>
      <c r="G29" s="288"/>
    </row>
    <row r="30" spans="1:7">
      <c r="A30" s="286"/>
      <c r="B30" s="286"/>
      <c r="C30" s="287"/>
      <c r="D30" s="288"/>
      <c r="E30" s="289"/>
      <c r="F30" s="290"/>
      <c r="G30" s="288"/>
    </row>
    <row r="31" spans="1:7">
      <c r="A31" s="291"/>
      <c r="B31" s="291"/>
      <c r="C31" s="255"/>
      <c r="F31" s="197"/>
    </row>
    <row r="32" spans="1:7">
      <c r="A32" s="291"/>
      <c r="B32" s="291"/>
      <c r="C32" s="255"/>
      <c r="F32" s="197"/>
    </row>
    <row r="33" spans="1:6">
      <c r="A33" s="291"/>
      <c r="B33" s="291"/>
      <c r="C33" s="255"/>
      <c r="F33" s="197"/>
    </row>
    <row r="34" spans="1:6">
      <c r="A34" s="2209"/>
      <c r="B34" s="2209"/>
      <c r="C34" s="2209"/>
      <c r="D34" s="2209"/>
      <c r="E34" s="2209"/>
      <c r="F34" s="2209"/>
    </row>
    <row r="35" spans="1:6">
      <c r="A35" s="291"/>
      <c r="B35" s="291"/>
      <c r="C35" s="255"/>
      <c r="F35" s="197"/>
    </row>
    <row r="36" spans="1:6">
      <c r="A36" s="291"/>
      <c r="B36" s="291"/>
      <c r="C36" s="255"/>
      <c r="F36" s="197"/>
    </row>
    <row r="37" spans="1:6">
      <c r="A37" s="291"/>
      <c r="B37" s="291"/>
      <c r="C37" s="255"/>
      <c r="F37" s="197"/>
    </row>
    <row r="38" spans="1:6">
      <c r="A38" s="291"/>
      <c r="B38" s="291"/>
      <c r="C38" s="255"/>
      <c r="F38" s="197"/>
    </row>
    <row r="39" spans="1:6">
      <c r="A39" s="291"/>
      <c r="B39" s="291"/>
      <c r="C39" s="255"/>
      <c r="F39" s="197"/>
    </row>
    <row r="40" spans="1:6">
      <c r="A40" s="291"/>
      <c r="B40" s="291"/>
      <c r="C40" s="255"/>
      <c r="F40" s="197"/>
    </row>
    <row r="41" spans="1:6">
      <c r="A41" s="291"/>
      <c r="B41" s="291"/>
      <c r="C41" s="255"/>
      <c r="F41" s="197"/>
    </row>
    <row r="42" spans="1:6">
      <c r="C42" s="255"/>
      <c r="F42" s="197"/>
    </row>
    <row r="43" spans="1:6">
      <c r="C43" s="255"/>
      <c r="F43" s="197"/>
    </row>
    <row r="44" spans="1:6">
      <c r="C44" s="255"/>
      <c r="F44" s="197"/>
    </row>
    <row r="45" spans="1:6">
      <c r="C45" s="255"/>
      <c r="F45" s="197"/>
    </row>
    <row r="46" spans="1:6">
      <c r="C46" s="255"/>
      <c r="F46" s="197"/>
    </row>
    <row r="47" spans="1:6">
      <c r="C47" s="255"/>
      <c r="F47" s="197"/>
    </row>
    <row r="48" spans="1:6">
      <c r="C48" s="255"/>
      <c r="F48" s="197"/>
    </row>
    <row r="49" spans="3:6">
      <c r="C49" s="255"/>
      <c r="F49" s="197"/>
    </row>
    <row r="50" spans="3:6">
      <c r="C50" s="255"/>
      <c r="F50" s="197"/>
    </row>
    <row r="51" spans="3:6">
      <c r="C51" s="255"/>
      <c r="F51" s="197"/>
    </row>
    <row r="52" spans="3:6">
      <c r="C52" s="255"/>
      <c r="F52" s="197"/>
    </row>
    <row r="53" spans="3:6">
      <c r="C53" s="255"/>
      <c r="F53" s="197"/>
    </row>
    <row r="54" spans="3:6">
      <c r="C54" s="255"/>
      <c r="F54" s="197"/>
    </row>
    <row r="55" spans="3:6">
      <c r="C55" s="255"/>
      <c r="F55" s="197"/>
    </row>
    <row r="56" spans="3:6">
      <c r="C56" s="255"/>
      <c r="F56" s="197"/>
    </row>
    <row r="57" spans="3:6">
      <c r="C57" s="255"/>
      <c r="F57" s="197"/>
    </row>
    <row r="185" spans="4:4">
      <c r="D185" s="258">
        <f>115000000+12000000</f>
        <v>127000000</v>
      </c>
    </row>
    <row r="293" spans="4:4">
      <c r="D293" s="258"/>
    </row>
  </sheetData>
  <mergeCells count="32">
    <mergeCell ref="E1:G1"/>
    <mergeCell ref="A2:G2"/>
    <mergeCell ref="A3:A4"/>
    <mergeCell ref="B3:B4"/>
    <mergeCell ref="C3:C4"/>
    <mergeCell ref="D3:D4"/>
    <mergeCell ref="E3:E4"/>
    <mergeCell ref="F3:G3"/>
    <mergeCell ref="A5:A8"/>
    <mergeCell ref="B5:D5"/>
    <mergeCell ref="B6:B8"/>
    <mergeCell ref="C6:D6"/>
    <mergeCell ref="A9:A12"/>
    <mergeCell ref="B9:D9"/>
    <mergeCell ref="B10:B12"/>
    <mergeCell ref="C10:D10"/>
    <mergeCell ref="A13:A16"/>
    <mergeCell ref="B13:D13"/>
    <mergeCell ref="B14:B16"/>
    <mergeCell ref="C14:D14"/>
    <mergeCell ref="A17:A20"/>
    <mergeCell ref="B17:D17"/>
    <mergeCell ref="B18:B20"/>
    <mergeCell ref="C18:D18"/>
    <mergeCell ref="A28:D28"/>
    <mergeCell ref="A34:F34"/>
    <mergeCell ref="A21:A27"/>
    <mergeCell ref="B21:D21"/>
    <mergeCell ref="B22:B24"/>
    <mergeCell ref="C22:D22"/>
    <mergeCell ref="B25:B27"/>
    <mergeCell ref="C25:D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E27"/>
  <sheetViews>
    <sheetView tabSelected="1" view="pageBreakPreview" zoomScaleNormal="100" zoomScaleSheetLayoutView="100" workbookViewId="0">
      <selection activeCell="G2" sqref="G2"/>
    </sheetView>
  </sheetViews>
  <sheetFormatPr defaultRowHeight="12.75"/>
  <cols>
    <col min="1" max="1" width="5.85546875" style="57" customWidth="1"/>
    <col min="2" max="2" width="49.7109375" style="57" customWidth="1"/>
    <col min="3" max="4" width="14.5703125" style="57" customWidth="1"/>
    <col min="5" max="5" width="9" style="57" customWidth="1"/>
    <col min="6" max="256" width="9.140625" style="57"/>
    <col min="257" max="257" width="5.85546875" style="57" customWidth="1"/>
    <col min="258" max="258" width="45.42578125" style="57" customWidth="1"/>
    <col min="259" max="260" width="14.5703125" style="57" customWidth="1"/>
    <col min="261" max="261" width="9" style="57" customWidth="1"/>
    <col min="262" max="512" width="9.140625" style="57"/>
    <col min="513" max="513" width="5.85546875" style="57" customWidth="1"/>
    <col min="514" max="514" width="45.42578125" style="57" customWidth="1"/>
    <col min="515" max="516" width="14.5703125" style="57" customWidth="1"/>
    <col min="517" max="517" width="9" style="57" customWidth="1"/>
    <col min="518" max="768" width="9.140625" style="57"/>
    <col min="769" max="769" width="5.85546875" style="57" customWidth="1"/>
    <col min="770" max="770" width="45.42578125" style="57" customWidth="1"/>
    <col min="771" max="772" width="14.5703125" style="57" customWidth="1"/>
    <col min="773" max="773" width="9" style="57" customWidth="1"/>
    <col min="774" max="1024" width="9.140625" style="57"/>
    <col min="1025" max="1025" width="5.85546875" style="57" customWidth="1"/>
    <col min="1026" max="1026" width="45.42578125" style="57" customWidth="1"/>
    <col min="1027" max="1028" width="14.5703125" style="57" customWidth="1"/>
    <col min="1029" max="1029" width="9" style="57" customWidth="1"/>
    <col min="1030" max="1280" width="9.140625" style="57"/>
    <col min="1281" max="1281" width="5.85546875" style="57" customWidth="1"/>
    <col min="1282" max="1282" width="45.42578125" style="57" customWidth="1"/>
    <col min="1283" max="1284" width="14.5703125" style="57" customWidth="1"/>
    <col min="1285" max="1285" width="9" style="57" customWidth="1"/>
    <col min="1286" max="1536" width="9.140625" style="57"/>
    <col min="1537" max="1537" width="5.85546875" style="57" customWidth="1"/>
    <col min="1538" max="1538" width="45.42578125" style="57" customWidth="1"/>
    <col min="1539" max="1540" width="14.5703125" style="57" customWidth="1"/>
    <col min="1541" max="1541" width="9" style="57" customWidth="1"/>
    <col min="1542" max="1792" width="9.140625" style="57"/>
    <col min="1793" max="1793" width="5.85546875" style="57" customWidth="1"/>
    <col min="1794" max="1794" width="45.42578125" style="57" customWidth="1"/>
    <col min="1795" max="1796" width="14.5703125" style="57" customWidth="1"/>
    <col min="1797" max="1797" width="9" style="57" customWidth="1"/>
    <col min="1798" max="2048" width="9.140625" style="57"/>
    <col min="2049" max="2049" width="5.85546875" style="57" customWidth="1"/>
    <col min="2050" max="2050" width="45.42578125" style="57" customWidth="1"/>
    <col min="2051" max="2052" width="14.5703125" style="57" customWidth="1"/>
    <col min="2053" max="2053" width="9" style="57" customWidth="1"/>
    <col min="2054" max="2304" width="9.140625" style="57"/>
    <col min="2305" max="2305" width="5.85546875" style="57" customWidth="1"/>
    <col min="2306" max="2306" width="45.42578125" style="57" customWidth="1"/>
    <col min="2307" max="2308" width="14.5703125" style="57" customWidth="1"/>
    <col min="2309" max="2309" width="9" style="57" customWidth="1"/>
    <col min="2310" max="2560" width="9.140625" style="57"/>
    <col min="2561" max="2561" width="5.85546875" style="57" customWidth="1"/>
    <col min="2562" max="2562" width="45.42578125" style="57" customWidth="1"/>
    <col min="2563" max="2564" width="14.5703125" style="57" customWidth="1"/>
    <col min="2565" max="2565" width="9" style="57" customWidth="1"/>
    <col min="2566" max="2816" width="9.140625" style="57"/>
    <col min="2817" max="2817" width="5.85546875" style="57" customWidth="1"/>
    <col min="2818" max="2818" width="45.42578125" style="57" customWidth="1"/>
    <col min="2819" max="2820" width="14.5703125" style="57" customWidth="1"/>
    <col min="2821" max="2821" width="9" style="57" customWidth="1"/>
    <col min="2822" max="3072" width="9.140625" style="57"/>
    <col min="3073" max="3073" width="5.85546875" style="57" customWidth="1"/>
    <col min="3074" max="3074" width="45.42578125" style="57" customWidth="1"/>
    <col min="3075" max="3076" width="14.5703125" style="57" customWidth="1"/>
    <col min="3077" max="3077" width="9" style="57" customWidth="1"/>
    <col min="3078" max="3328" width="9.140625" style="57"/>
    <col min="3329" max="3329" width="5.85546875" style="57" customWidth="1"/>
    <col min="3330" max="3330" width="45.42578125" style="57" customWidth="1"/>
    <col min="3331" max="3332" width="14.5703125" style="57" customWidth="1"/>
    <col min="3333" max="3333" width="9" style="57" customWidth="1"/>
    <col min="3334" max="3584" width="9.140625" style="57"/>
    <col min="3585" max="3585" width="5.85546875" style="57" customWidth="1"/>
    <col min="3586" max="3586" width="45.42578125" style="57" customWidth="1"/>
    <col min="3587" max="3588" width="14.5703125" style="57" customWidth="1"/>
    <col min="3589" max="3589" width="9" style="57" customWidth="1"/>
    <col min="3590" max="3840" width="9.140625" style="57"/>
    <col min="3841" max="3841" width="5.85546875" style="57" customWidth="1"/>
    <col min="3842" max="3842" width="45.42578125" style="57" customWidth="1"/>
    <col min="3843" max="3844" width="14.5703125" style="57" customWidth="1"/>
    <col min="3845" max="3845" width="9" style="57" customWidth="1"/>
    <col min="3846" max="4096" width="9.140625" style="57"/>
    <col min="4097" max="4097" width="5.85546875" style="57" customWidth="1"/>
    <col min="4098" max="4098" width="45.42578125" style="57" customWidth="1"/>
    <col min="4099" max="4100" width="14.5703125" style="57" customWidth="1"/>
    <col min="4101" max="4101" width="9" style="57" customWidth="1"/>
    <col min="4102" max="4352" width="9.140625" style="57"/>
    <col min="4353" max="4353" width="5.85546875" style="57" customWidth="1"/>
    <col min="4354" max="4354" width="45.42578125" style="57" customWidth="1"/>
    <col min="4355" max="4356" width="14.5703125" style="57" customWidth="1"/>
    <col min="4357" max="4357" width="9" style="57" customWidth="1"/>
    <col min="4358" max="4608" width="9.140625" style="57"/>
    <col min="4609" max="4609" width="5.85546875" style="57" customWidth="1"/>
    <col min="4610" max="4610" width="45.42578125" style="57" customWidth="1"/>
    <col min="4611" max="4612" width="14.5703125" style="57" customWidth="1"/>
    <col min="4613" max="4613" width="9" style="57" customWidth="1"/>
    <col min="4614" max="4864" width="9.140625" style="57"/>
    <col min="4865" max="4865" width="5.85546875" style="57" customWidth="1"/>
    <col min="4866" max="4866" width="45.42578125" style="57" customWidth="1"/>
    <col min="4867" max="4868" width="14.5703125" style="57" customWidth="1"/>
    <col min="4869" max="4869" width="9" style="57" customWidth="1"/>
    <col min="4870" max="5120" width="9.140625" style="57"/>
    <col min="5121" max="5121" width="5.85546875" style="57" customWidth="1"/>
    <col min="5122" max="5122" width="45.42578125" style="57" customWidth="1"/>
    <col min="5123" max="5124" width="14.5703125" style="57" customWidth="1"/>
    <col min="5125" max="5125" width="9" style="57" customWidth="1"/>
    <col min="5126" max="5376" width="9.140625" style="57"/>
    <col min="5377" max="5377" width="5.85546875" style="57" customWidth="1"/>
    <col min="5378" max="5378" width="45.42578125" style="57" customWidth="1"/>
    <col min="5379" max="5380" width="14.5703125" style="57" customWidth="1"/>
    <col min="5381" max="5381" width="9" style="57" customWidth="1"/>
    <col min="5382" max="5632" width="9.140625" style="57"/>
    <col min="5633" max="5633" width="5.85546875" style="57" customWidth="1"/>
    <col min="5634" max="5634" width="45.42578125" style="57" customWidth="1"/>
    <col min="5635" max="5636" width="14.5703125" style="57" customWidth="1"/>
    <col min="5637" max="5637" width="9" style="57" customWidth="1"/>
    <col min="5638" max="5888" width="9.140625" style="57"/>
    <col min="5889" max="5889" width="5.85546875" style="57" customWidth="1"/>
    <col min="5890" max="5890" width="45.42578125" style="57" customWidth="1"/>
    <col min="5891" max="5892" width="14.5703125" style="57" customWidth="1"/>
    <col min="5893" max="5893" width="9" style="57" customWidth="1"/>
    <col min="5894" max="6144" width="9.140625" style="57"/>
    <col min="6145" max="6145" width="5.85546875" style="57" customWidth="1"/>
    <col min="6146" max="6146" width="45.42578125" style="57" customWidth="1"/>
    <col min="6147" max="6148" width="14.5703125" style="57" customWidth="1"/>
    <col min="6149" max="6149" width="9" style="57" customWidth="1"/>
    <col min="6150" max="6400" width="9.140625" style="57"/>
    <col min="6401" max="6401" width="5.85546875" style="57" customWidth="1"/>
    <col min="6402" max="6402" width="45.42578125" style="57" customWidth="1"/>
    <col min="6403" max="6404" width="14.5703125" style="57" customWidth="1"/>
    <col min="6405" max="6405" width="9" style="57" customWidth="1"/>
    <col min="6406" max="6656" width="9.140625" style="57"/>
    <col min="6657" max="6657" width="5.85546875" style="57" customWidth="1"/>
    <col min="6658" max="6658" width="45.42578125" style="57" customWidth="1"/>
    <col min="6659" max="6660" width="14.5703125" style="57" customWidth="1"/>
    <col min="6661" max="6661" width="9" style="57" customWidth="1"/>
    <col min="6662" max="6912" width="9.140625" style="57"/>
    <col min="6913" max="6913" width="5.85546875" style="57" customWidth="1"/>
    <col min="6914" max="6914" width="45.42578125" style="57" customWidth="1"/>
    <col min="6915" max="6916" width="14.5703125" style="57" customWidth="1"/>
    <col min="6917" max="6917" width="9" style="57" customWidth="1"/>
    <col min="6918" max="7168" width="9.140625" style="57"/>
    <col min="7169" max="7169" width="5.85546875" style="57" customWidth="1"/>
    <col min="7170" max="7170" width="45.42578125" style="57" customWidth="1"/>
    <col min="7171" max="7172" width="14.5703125" style="57" customWidth="1"/>
    <col min="7173" max="7173" width="9" style="57" customWidth="1"/>
    <col min="7174" max="7424" width="9.140625" style="57"/>
    <col min="7425" max="7425" width="5.85546875" style="57" customWidth="1"/>
    <col min="7426" max="7426" width="45.42578125" style="57" customWidth="1"/>
    <col min="7427" max="7428" width="14.5703125" style="57" customWidth="1"/>
    <col min="7429" max="7429" width="9" style="57" customWidth="1"/>
    <col min="7430" max="7680" width="9.140625" style="57"/>
    <col min="7681" max="7681" width="5.85546875" style="57" customWidth="1"/>
    <col min="7682" max="7682" width="45.42578125" style="57" customWidth="1"/>
    <col min="7683" max="7684" width="14.5703125" style="57" customWidth="1"/>
    <col min="7685" max="7685" width="9" style="57" customWidth="1"/>
    <col min="7686" max="7936" width="9.140625" style="57"/>
    <col min="7937" max="7937" width="5.85546875" style="57" customWidth="1"/>
    <col min="7938" max="7938" width="45.42578125" style="57" customWidth="1"/>
    <col min="7939" max="7940" width="14.5703125" style="57" customWidth="1"/>
    <col min="7941" max="7941" width="9" style="57" customWidth="1"/>
    <col min="7942" max="8192" width="9.140625" style="57"/>
    <col min="8193" max="8193" width="5.85546875" style="57" customWidth="1"/>
    <col min="8194" max="8194" width="45.42578125" style="57" customWidth="1"/>
    <col min="8195" max="8196" width="14.5703125" style="57" customWidth="1"/>
    <col min="8197" max="8197" width="9" style="57" customWidth="1"/>
    <col min="8198" max="8448" width="9.140625" style="57"/>
    <col min="8449" max="8449" width="5.85546875" style="57" customWidth="1"/>
    <col min="8450" max="8450" width="45.42578125" style="57" customWidth="1"/>
    <col min="8451" max="8452" width="14.5703125" style="57" customWidth="1"/>
    <col min="8453" max="8453" width="9" style="57" customWidth="1"/>
    <col min="8454" max="8704" width="9.140625" style="57"/>
    <col min="8705" max="8705" width="5.85546875" style="57" customWidth="1"/>
    <col min="8706" max="8706" width="45.42578125" style="57" customWidth="1"/>
    <col min="8707" max="8708" width="14.5703125" style="57" customWidth="1"/>
    <col min="8709" max="8709" width="9" style="57" customWidth="1"/>
    <col min="8710" max="8960" width="9.140625" style="57"/>
    <col min="8961" max="8961" width="5.85546875" style="57" customWidth="1"/>
    <col min="8962" max="8962" width="45.42578125" style="57" customWidth="1"/>
    <col min="8963" max="8964" width="14.5703125" style="57" customWidth="1"/>
    <col min="8965" max="8965" width="9" style="57" customWidth="1"/>
    <col min="8966" max="9216" width="9.140625" style="57"/>
    <col min="9217" max="9217" width="5.85546875" style="57" customWidth="1"/>
    <col min="9218" max="9218" width="45.42578125" style="57" customWidth="1"/>
    <col min="9219" max="9220" width="14.5703125" style="57" customWidth="1"/>
    <col min="9221" max="9221" width="9" style="57" customWidth="1"/>
    <col min="9222" max="9472" width="9.140625" style="57"/>
    <col min="9473" max="9473" width="5.85546875" style="57" customWidth="1"/>
    <col min="9474" max="9474" width="45.42578125" style="57" customWidth="1"/>
    <col min="9475" max="9476" width="14.5703125" style="57" customWidth="1"/>
    <col min="9477" max="9477" width="9" style="57" customWidth="1"/>
    <col min="9478" max="9728" width="9.140625" style="57"/>
    <col min="9729" max="9729" width="5.85546875" style="57" customWidth="1"/>
    <col min="9730" max="9730" width="45.42578125" style="57" customWidth="1"/>
    <col min="9731" max="9732" width="14.5703125" style="57" customWidth="1"/>
    <col min="9733" max="9733" width="9" style="57" customWidth="1"/>
    <col min="9734" max="9984" width="9.140625" style="57"/>
    <col min="9985" max="9985" width="5.85546875" style="57" customWidth="1"/>
    <col min="9986" max="9986" width="45.42578125" style="57" customWidth="1"/>
    <col min="9987" max="9988" width="14.5703125" style="57" customWidth="1"/>
    <col min="9989" max="9989" width="9" style="57" customWidth="1"/>
    <col min="9990" max="10240" width="9.140625" style="57"/>
    <col min="10241" max="10241" width="5.85546875" style="57" customWidth="1"/>
    <col min="10242" max="10242" width="45.42578125" style="57" customWidth="1"/>
    <col min="10243" max="10244" width="14.5703125" style="57" customWidth="1"/>
    <col min="10245" max="10245" width="9" style="57" customWidth="1"/>
    <col min="10246" max="10496" width="9.140625" style="57"/>
    <col min="10497" max="10497" width="5.85546875" style="57" customWidth="1"/>
    <col min="10498" max="10498" width="45.42578125" style="57" customWidth="1"/>
    <col min="10499" max="10500" width="14.5703125" style="57" customWidth="1"/>
    <col min="10501" max="10501" width="9" style="57" customWidth="1"/>
    <col min="10502" max="10752" width="9.140625" style="57"/>
    <col min="10753" max="10753" width="5.85546875" style="57" customWidth="1"/>
    <col min="10754" max="10754" width="45.42578125" style="57" customWidth="1"/>
    <col min="10755" max="10756" width="14.5703125" style="57" customWidth="1"/>
    <col min="10757" max="10757" width="9" style="57" customWidth="1"/>
    <col min="10758" max="11008" width="9.140625" style="57"/>
    <col min="11009" max="11009" width="5.85546875" style="57" customWidth="1"/>
    <col min="11010" max="11010" width="45.42578125" style="57" customWidth="1"/>
    <col min="11011" max="11012" width="14.5703125" style="57" customWidth="1"/>
    <col min="11013" max="11013" width="9" style="57" customWidth="1"/>
    <col min="11014" max="11264" width="9.140625" style="57"/>
    <col min="11265" max="11265" width="5.85546875" style="57" customWidth="1"/>
    <col min="11266" max="11266" width="45.42578125" style="57" customWidth="1"/>
    <col min="11267" max="11268" width="14.5703125" style="57" customWidth="1"/>
    <col min="11269" max="11269" width="9" style="57" customWidth="1"/>
    <col min="11270" max="11520" width="9.140625" style="57"/>
    <col min="11521" max="11521" width="5.85546875" style="57" customWidth="1"/>
    <col min="11522" max="11522" width="45.42578125" style="57" customWidth="1"/>
    <col min="11523" max="11524" width="14.5703125" style="57" customWidth="1"/>
    <col min="11525" max="11525" width="9" style="57" customWidth="1"/>
    <col min="11526" max="11776" width="9.140625" style="57"/>
    <col min="11777" max="11777" width="5.85546875" style="57" customWidth="1"/>
    <col min="11778" max="11778" width="45.42578125" style="57" customWidth="1"/>
    <col min="11779" max="11780" width="14.5703125" style="57" customWidth="1"/>
    <col min="11781" max="11781" width="9" style="57" customWidth="1"/>
    <col min="11782" max="12032" width="9.140625" style="57"/>
    <col min="12033" max="12033" width="5.85546875" style="57" customWidth="1"/>
    <col min="12034" max="12034" width="45.42578125" style="57" customWidth="1"/>
    <col min="12035" max="12036" width="14.5703125" style="57" customWidth="1"/>
    <col min="12037" max="12037" width="9" style="57" customWidth="1"/>
    <col min="12038" max="12288" width="9.140625" style="57"/>
    <col min="12289" max="12289" width="5.85546875" style="57" customWidth="1"/>
    <col min="12290" max="12290" width="45.42578125" style="57" customWidth="1"/>
    <col min="12291" max="12292" width="14.5703125" style="57" customWidth="1"/>
    <col min="12293" max="12293" width="9" style="57" customWidth="1"/>
    <col min="12294" max="12544" width="9.140625" style="57"/>
    <col min="12545" max="12545" width="5.85546875" style="57" customWidth="1"/>
    <col min="12546" max="12546" width="45.42578125" style="57" customWidth="1"/>
    <col min="12547" max="12548" width="14.5703125" style="57" customWidth="1"/>
    <col min="12549" max="12549" width="9" style="57" customWidth="1"/>
    <col min="12550" max="12800" width="9.140625" style="57"/>
    <col min="12801" max="12801" width="5.85546875" style="57" customWidth="1"/>
    <col min="12802" max="12802" width="45.42578125" style="57" customWidth="1"/>
    <col min="12803" max="12804" width="14.5703125" style="57" customWidth="1"/>
    <col min="12805" max="12805" width="9" style="57" customWidth="1"/>
    <col min="12806" max="13056" width="9.140625" style="57"/>
    <col min="13057" max="13057" width="5.85546875" style="57" customWidth="1"/>
    <col min="13058" max="13058" width="45.42578125" style="57" customWidth="1"/>
    <col min="13059" max="13060" width="14.5703125" style="57" customWidth="1"/>
    <col min="13061" max="13061" width="9" style="57" customWidth="1"/>
    <col min="13062" max="13312" width="9.140625" style="57"/>
    <col min="13313" max="13313" width="5.85546875" style="57" customWidth="1"/>
    <col min="13314" max="13314" width="45.42578125" style="57" customWidth="1"/>
    <col min="13315" max="13316" width="14.5703125" style="57" customWidth="1"/>
    <col min="13317" max="13317" width="9" style="57" customWidth="1"/>
    <col min="13318" max="13568" width="9.140625" style="57"/>
    <col min="13569" max="13569" width="5.85546875" style="57" customWidth="1"/>
    <col min="13570" max="13570" width="45.42578125" style="57" customWidth="1"/>
    <col min="13571" max="13572" width="14.5703125" style="57" customWidth="1"/>
    <col min="13573" max="13573" width="9" style="57" customWidth="1"/>
    <col min="13574" max="13824" width="9.140625" style="57"/>
    <col min="13825" max="13825" width="5.85546875" style="57" customWidth="1"/>
    <col min="13826" max="13826" width="45.42578125" style="57" customWidth="1"/>
    <col min="13827" max="13828" width="14.5703125" style="57" customWidth="1"/>
    <col min="13829" max="13829" width="9" style="57" customWidth="1"/>
    <col min="13830" max="14080" width="9.140625" style="57"/>
    <col min="14081" max="14081" width="5.85546875" style="57" customWidth="1"/>
    <col min="14082" max="14082" width="45.42578125" style="57" customWidth="1"/>
    <col min="14083" max="14084" width="14.5703125" style="57" customWidth="1"/>
    <col min="14085" max="14085" width="9" style="57" customWidth="1"/>
    <col min="14086" max="14336" width="9.140625" style="57"/>
    <col min="14337" max="14337" width="5.85546875" style="57" customWidth="1"/>
    <col min="14338" max="14338" width="45.42578125" style="57" customWidth="1"/>
    <col min="14339" max="14340" width="14.5703125" style="57" customWidth="1"/>
    <col min="14341" max="14341" width="9" style="57" customWidth="1"/>
    <col min="14342" max="14592" width="9.140625" style="57"/>
    <col min="14593" max="14593" width="5.85546875" style="57" customWidth="1"/>
    <col min="14594" max="14594" width="45.42578125" style="57" customWidth="1"/>
    <col min="14595" max="14596" width="14.5703125" style="57" customWidth="1"/>
    <col min="14597" max="14597" width="9" style="57" customWidth="1"/>
    <col min="14598" max="14848" width="9.140625" style="57"/>
    <col min="14849" max="14849" width="5.85546875" style="57" customWidth="1"/>
    <col min="14850" max="14850" width="45.42578125" style="57" customWidth="1"/>
    <col min="14851" max="14852" width="14.5703125" style="57" customWidth="1"/>
    <col min="14853" max="14853" width="9" style="57" customWidth="1"/>
    <col min="14854" max="15104" width="9.140625" style="57"/>
    <col min="15105" max="15105" width="5.85546875" style="57" customWidth="1"/>
    <col min="15106" max="15106" width="45.42578125" style="57" customWidth="1"/>
    <col min="15107" max="15108" width="14.5703125" style="57" customWidth="1"/>
    <col min="15109" max="15109" width="9" style="57" customWidth="1"/>
    <col min="15110" max="15360" width="9.140625" style="57"/>
    <col min="15361" max="15361" width="5.85546875" style="57" customWidth="1"/>
    <col min="15362" max="15362" width="45.42578125" style="57" customWidth="1"/>
    <col min="15363" max="15364" width="14.5703125" style="57" customWidth="1"/>
    <col min="15365" max="15365" width="9" style="57" customWidth="1"/>
    <col min="15366" max="15616" width="9.140625" style="57"/>
    <col min="15617" max="15617" width="5.85546875" style="57" customWidth="1"/>
    <col min="15618" max="15618" width="45.42578125" style="57" customWidth="1"/>
    <col min="15619" max="15620" width="14.5703125" style="57" customWidth="1"/>
    <col min="15621" max="15621" width="9" style="57" customWidth="1"/>
    <col min="15622" max="15872" width="9.140625" style="57"/>
    <col min="15873" max="15873" width="5.85546875" style="57" customWidth="1"/>
    <col min="15874" max="15874" width="45.42578125" style="57" customWidth="1"/>
    <col min="15875" max="15876" width="14.5703125" style="57" customWidth="1"/>
    <col min="15877" max="15877" width="9" style="57" customWidth="1"/>
    <col min="15878" max="16128" width="9.140625" style="57"/>
    <col min="16129" max="16129" width="5.85546875" style="57" customWidth="1"/>
    <col min="16130" max="16130" width="45.42578125" style="57" customWidth="1"/>
    <col min="16131" max="16132" width="14.5703125" style="57" customWidth="1"/>
    <col min="16133" max="16133" width="9" style="57" customWidth="1"/>
    <col min="16134" max="16384" width="9.140625" style="57"/>
  </cols>
  <sheetData>
    <row r="1" spans="1:5" ht="76.5" customHeight="1">
      <c r="A1" s="80"/>
      <c r="B1" s="2235" t="s">
        <v>1066</v>
      </c>
      <c r="C1" s="2235"/>
      <c r="D1" s="2235"/>
    </row>
    <row r="2" spans="1:5" ht="63" customHeight="1" thickBot="1">
      <c r="A2" s="2236" t="s">
        <v>95</v>
      </c>
      <c r="B2" s="2236"/>
      <c r="C2" s="2236"/>
      <c r="D2" s="2236"/>
    </row>
    <row r="3" spans="1:5" ht="22.5" customHeight="1" thickBot="1">
      <c r="A3" s="78" t="s">
        <v>15</v>
      </c>
      <c r="B3" s="79" t="s">
        <v>94</v>
      </c>
      <c r="C3" s="78" t="s">
        <v>93</v>
      </c>
      <c r="D3" s="77" t="s">
        <v>92</v>
      </c>
    </row>
    <row r="4" spans="1:5" ht="15" customHeight="1" thickBot="1">
      <c r="A4" s="2231" t="s">
        <v>91</v>
      </c>
      <c r="B4" s="2232"/>
      <c r="C4" s="76">
        <f>SUM(C5:C6)</f>
        <v>3020</v>
      </c>
      <c r="D4" s="75">
        <f>SUM(D5:D6)</f>
        <v>3020</v>
      </c>
    </row>
    <row r="5" spans="1:5" ht="26.25" customHeight="1">
      <c r="A5" s="96">
        <v>1</v>
      </c>
      <c r="B5" s="74" t="s">
        <v>107</v>
      </c>
      <c r="C5" s="85">
        <v>20</v>
      </c>
      <c r="D5" s="86">
        <v>20</v>
      </c>
      <c r="E5" s="63"/>
    </row>
    <row r="6" spans="1:5" ht="15" customHeight="1" thickBot="1">
      <c r="A6" s="97">
        <v>2</v>
      </c>
      <c r="B6" s="72" t="s">
        <v>90</v>
      </c>
      <c r="C6" s="87">
        <v>3000</v>
      </c>
      <c r="D6" s="88">
        <v>3000</v>
      </c>
      <c r="E6" s="63"/>
    </row>
    <row r="7" spans="1:5" ht="15" customHeight="1" thickBot="1">
      <c r="A7" s="2231" t="s">
        <v>89</v>
      </c>
      <c r="B7" s="2232"/>
      <c r="C7" s="89">
        <f>SUM(C8:C14)</f>
        <v>289030</v>
      </c>
      <c r="D7" s="90">
        <f>SUM(D8:D14)</f>
        <v>289030</v>
      </c>
      <c r="E7" s="63"/>
    </row>
    <row r="8" spans="1:5" ht="27" customHeight="1">
      <c r="A8" s="98">
        <v>1</v>
      </c>
      <c r="B8" s="82" t="s">
        <v>99</v>
      </c>
      <c r="C8" s="91">
        <v>54000</v>
      </c>
      <c r="D8" s="92">
        <v>54000</v>
      </c>
      <c r="E8" s="63"/>
    </row>
    <row r="9" spans="1:5" ht="27" customHeight="1">
      <c r="A9" s="99">
        <v>2</v>
      </c>
      <c r="B9" s="83" t="s">
        <v>100</v>
      </c>
      <c r="C9" s="93">
        <v>17369</v>
      </c>
      <c r="D9" s="94">
        <v>17369</v>
      </c>
      <c r="E9" s="63"/>
    </row>
    <row r="10" spans="1:5" ht="27" customHeight="1">
      <c r="A10" s="99">
        <v>3</v>
      </c>
      <c r="B10" s="83" t="s">
        <v>101</v>
      </c>
      <c r="C10" s="93">
        <v>1000</v>
      </c>
      <c r="D10" s="94">
        <v>1000</v>
      </c>
      <c r="E10" s="63"/>
    </row>
    <row r="11" spans="1:5" ht="27" customHeight="1">
      <c r="A11" s="99">
        <v>4</v>
      </c>
      <c r="B11" s="83" t="s">
        <v>102</v>
      </c>
      <c r="C11" s="93">
        <v>8000</v>
      </c>
      <c r="D11" s="94">
        <v>8000</v>
      </c>
      <c r="E11" s="63"/>
    </row>
    <row r="12" spans="1:5" ht="27" customHeight="1">
      <c r="A12" s="99">
        <v>5</v>
      </c>
      <c r="B12" s="83" t="s">
        <v>103</v>
      </c>
      <c r="C12" s="93">
        <v>45100</v>
      </c>
      <c r="D12" s="94">
        <v>45100</v>
      </c>
      <c r="E12" s="63"/>
    </row>
    <row r="13" spans="1:5" ht="27" customHeight="1">
      <c r="A13" s="99">
        <v>6</v>
      </c>
      <c r="B13" s="83" t="s">
        <v>98</v>
      </c>
      <c r="C13" s="93">
        <v>2000</v>
      </c>
      <c r="D13" s="94">
        <v>2000</v>
      </c>
      <c r="E13" s="63"/>
    </row>
    <row r="14" spans="1:5" s="68" customFormat="1" ht="27.75" customHeight="1" thickBot="1">
      <c r="A14" s="97">
        <v>7</v>
      </c>
      <c r="B14" s="84" t="s">
        <v>97</v>
      </c>
      <c r="C14" s="87">
        <v>161561</v>
      </c>
      <c r="D14" s="88">
        <v>161561</v>
      </c>
      <c r="E14" s="73"/>
    </row>
    <row r="15" spans="1:5" ht="15" customHeight="1" thickBot="1">
      <c r="A15" s="2231" t="s">
        <v>88</v>
      </c>
      <c r="B15" s="2232"/>
      <c r="C15" s="89">
        <f>SUM(C16)</f>
        <v>2300000</v>
      </c>
      <c r="D15" s="90">
        <f>SUM(D16)</f>
        <v>2300000</v>
      </c>
      <c r="E15" s="63"/>
    </row>
    <row r="16" spans="1:5" ht="15" customHeight="1" thickBot="1">
      <c r="A16" s="71">
        <v>1</v>
      </c>
      <c r="B16" s="70" t="s">
        <v>87</v>
      </c>
      <c r="C16" s="85">
        <v>2300000</v>
      </c>
      <c r="D16" s="86">
        <v>2300000</v>
      </c>
      <c r="E16" s="73"/>
    </row>
    <row r="17" spans="1:5" ht="15" customHeight="1" thickBot="1">
      <c r="A17" s="2231" t="s">
        <v>86</v>
      </c>
      <c r="B17" s="2232"/>
      <c r="C17" s="89">
        <f>SUM(C18:C21)</f>
        <v>335700</v>
      </c>
      <c r="D17" s="90">
        <f>SUM(D18:D21)</f>
        <v>335700</v>
      </c>
      <c r="E17" s="63"/>
    </row>
    <row r="18" spans="1:5" ht="15" customHeight="1">
      <c r="A18" s="98">
        <v>1</v>
      </c>
      <c r="B18" s="65" t="s">
        <v>85</v>
      </c>
      <c r="C18" s="91">
        <v>71000</v>
      </c>
      <c r="D18" s="92">
        <v>71000</v>
      </c>
      <c r="E18" s="63"/>
    </row>
    <row r="19" spans="1:5" s="68" customFormat="1" ht="15" customHeight="1">
      <c r="A19" s="99">
        <v>2</v>
      </c>
      <c r="B19" s="67" t="s">
        <v>84</v>
      </c>
      <c r="C19" s="93">
        <v>35600</v>
      </c>
      <c r="D19" s="94">
        <v>35600</v>
      </c>
      <c r="E19" s="69"/>
    </row>
    <row r="20" spans="1:5" ht="15" customHeight="1">
      <c r="A20" s="99">
        <v>3</v>
      </c>
      <c r="B20" s="67" t="s">
        <v>83</v>
      </c>
      <c r="C20" s="93">
        <v>190000</v>
      </c>
      <c r="D20" s="94">
        <v>190000</v>
      </c>
      <c r="E20" s="63"/>
    </row>
    <row r="21" spans="1:5" ht="15" customHeight="1" thickBot="1">
      <c r="A21" s="97">
        <v>4</v>
      </c>
      <c r="B21" s="66" t="s">
        <v>82</v>
      </c>
      <c r="C21" s="87">
        <v>39100</v>
      </c>
      <c r="D21" s="88">
        <v>39100</v>
      </c>
      <c r="E21" s="63"/>
    </row>
    <row r="22" spans="1:5" ht="15" customHeight="1" thickBot="1">
      <c r="A22" s="2231" t="s">
        <v>81</v>
      </c>
      <c r="B22" s="2232"/>
      <c r="C22" s="89">
        <f>SUM(C23:C23)</f>
        <v>200330</v>
      </c>
      <c r="D22" s="90">
        <f>SUM(D23:D23)</f>
        <v>200330</v>
      </c>
      <c r="E22" s="63"/>
    </row>
    <row r="23" spans="1:5" ht="29.25" customHeight="1" thickBot="1">
      <c r="A23" s="100">
        <v>1</v>
      </c>
      <c r="B23" s="81" t="s">
        <v>106</v>
      </c>
      <c r="C23" s="85">
        <v>200330</v>
      </c>
      <c r="D23" s="86">
        <v>200330</v>
      </c>
      <c r="E23" s="63"/>
    </row>
    <row r="24" spans="1:5" ht="24" customHeight="1" thickBot="1">
      <c r="A24" s="2233" t="s">
        <v>80</v>
      </c>
      <c r="B24" s="2234"/>
      <c r="C24" s="64">
        <f>SUM(C4,C7,C15,C17,C22)</f>
        <v>3128080</v>
      </c>
      <c r="D24" s="64">
        <f>SUM(D4,D7,D15,D17,D22)</f>
        <v>3128080</v>
      </c>
      <c r="E24" s="63"/>
    </row>
    <row r="25" spans="1:5" ht="12.75" customHeight="1">
      <c r="A25" s="62"/>
      <c r="B25" s="62"/>
      <c r="C25" s="61"/>
      <c r="D25" s="61"/>
    </row>
    <row r="27" spans="1:5">
      <c r="A27" s="60"/>
      <c r="B27" s="59"/>
      <c r="C27" s="58"/>
      <c r="D27" s="58"/>
    </row>
  </sheetData>
  <mergeCells count="8">
    <mergeCell ref="A17:B17"/>
    <mergeCell ref="A22:B22"/>
    <mergeCell ref="A24:B24"/>
    <mergeCell ref="B1:D1"/>
    <mergeCell ref="A2:D2"/>
    <mergeCell ref="A4:B4"/>
    <mergeCell ref="A7:B7"/>
    <mergeCell ref="A15:B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  <pageSetUpPr fitToPage="1"/>
  </sheetPr>
  <dimension ref="A1:J1688"/>
  <sheetViews>
    <sheetView showGridLines="0" view="pageBreakPreview" zoomScale="110" zoomScaleNormal="110" zoomScaleSheetLayoutView="110" workbookViewId="0">
      <selection activeCell="G6" sqref="G6"/>
    </sheetView>
  </sheetViews>
  <sheetFormatPr defaultRowHeight="12.75"/>
  <cols>
    <col min="1" max="1" width="7" style="796" customWidth="1"/>
    <col min="2" max="2" width="11.42578125" style="796" customWidth="1"/>
    <col min="3" max="3" width="12.85546875" style="796" bestFit="1" customWidth="1"/>
    <col min="4" max="4" width="71.85546875" style="796" customWidth="1"/>
    <col min="5" max="5" width="17.28515625" style="796" customWidth="1"/>
    <col min="6" max="6" width="12" style="796" bestFit="1" customWidth="1"/>
    <col min="7" max="7" width="13.140625" style="796" customWidth="1"/>
    <col min="8" max="16384" width="9.140625" style="796"/>
  </cols>
  <sheetData>
    <row r="1" spans="1:5" ht="27.75" customHeight="1">
      <c r="E1" s="1584" t="s">
        <v>1052</v>
      </c>
    </row>
    <row r="2" spans="1:5" ht="25.5" customHeight="1">
      <c r="D2" s="797"/>
      <c r="E2" s="1584"/>
    </row>
    <row r="3" spans="1:5" ht="19.5" customHeight="1">
      <c r="E3" s="1584"/>
    </row>
    <row r="4" spans="1:5" ht="15" customHeight="1">
      <c r="A4" s="1585" t="s">
        <v>749</v>
      </c>
      <c r="B4" s="1585"/>
      <c r="C4" s="1585"/>
      <c r="D4" s="1585"/>
      <c r="E4" s="1585"/>
    </row>
    <row r="5" spans="1:5" s="798" customFormat="1" ht="10.5" customHeight="1" thickBot="1">
      <c r="A5" s="1586"/>
      <c r="B5" s="1586"/>
      <c r="C5" s="1586"/>
      <c r="D5" s="1586"/>
    </row>
    <row r="6" spans="1:5" ht="36" customHeight="1" thickBot="1">
      <c r="A6" s="799" t="s">
        <v>0</v>
      </c>
      <c r="B6" s="800" t="s">
        <v>1</v>
      </c>
      <c r="C6" s="801" t="s">
        <v>5</v>
      </c>
      <c r="D6" s="800" t="s">
        <v>750</v>
      </c>
      <c r="E6" s="802" t="s">
        <v>585</v>
      </c>
    </row>
    <row r="7" spans="1:5" ht="17.100000000000001" customHeight="1" thickBot="1">
      <c r="A7" s="803" t="s">
        <v>308</v>
      </c>
      <c r="B7" s="804" t="s">
        <v>309</v>
      </c>
      <c r="C7" s="805" t="s">
        <v>310</v>
      </c>
      <c r="D7" s="803" t="s">
        <v>311</v>
      </c>
      <c r="E7" s="806" t="s">
        <v>312</v>
      </c>
    </row>
    <row r="8" spans="1:5" ht="17.100000000000001" customHeight="1" thickBot="1">
      <c r="A8" s="807" t="s">
        <v>116</v>
      </c>
      <c r="B8" s="808"/>
      <c r="C8" s="809"/>
      <c r="D8" s="810" t="s">
        <v>751</v>
      </c>
      <c r="E8" s="811">
        <f>SUM(E9,E45,E62,E91,E120,E136)</f>
        <v>35784735</v>
      </c>
    </row>
    <row r="9" spans="1:5" ht="17.100000000000001" customHeight="1" thickBot="1">
      <c r="A9" s="812"/>
      <c r="B9" s="813" t="s">
        <v>586</v>
      </c>
      <c r="C9" s="814"/>
      <c r="D9" s="815" t="s">
        <v>752</v>
      </c>
      <c r="E9" s="816">
        <f>E10+E42</f>
        <v>10870356</v>
      </c>
    </row>
    <row r="10" spans="1:5" ht="17.100000000000001" customHeight="1">
      <c r="A10" s="812"/>
      <c r="B10" s="1587"/>
      <c r="C10" s="1583" t="s">
        <v>753</v>
      </c>
      <c r="D10" s="1583"/>
      <c r="E10" s="817">
        <f>E11+E39</f>
        <v>10810356</v>
      </c>
    </row>
    <row r="11" spans="1:5" ht="17.100000000000001" customHeight="1">
      <c r="A11" s="812"/>
      <c r="B11" s="1587"/>
      <c r="C11" s="1588" t="s">
        <v>754</v>
      </c>
      <c r="D11" s="1588"/>
      <c r="E11" s="818">
        <f t="shared" ref="E11" si="0">E12+E19</f>
        <v>10741356</v>
      </c>
    </row>
    <row r="12" spans="1:5" ht="17.100000000000001" customHeight="1">
      <c r="A12" s="812"/>
      <c r="B12" s="1587"/>
      <c r="C12" s="1589" t="s">
        <v>755</v>
      </c>
      <c r="D12" s="1589"/>
      <c r="E12" s="819">
        <f t="shared" ref="E12" si="1">SUM(E13:E17)</f>
        <v>8855556</v>
      </c>
    </row>
    <row r="13" spans="1:5" ht="17.100000000000001" customHeight="1">
      <c r="A13" s="812"/>
      <c r="B13" s="820"/>
      <c r="C13" s="821" t="s">
        <v>538</v>
      </c>
      <c r="D13" s="822" t="s">
        <v>756</v>
      </c>
      <c r="E13" s="823">
        <v>6845100</v>
      </c>
    </row>
    <row r="14" spans="1:5" ht="17.100000000000001" customHeight="1">
      <c r="A14" s="812"/>
      <c r="B14" s="820"/>
      <c r="C14" s="821" t="s">
        <v>757</v>
      </c>
      <c r="D14" s="822" t="s">
        <v>758</v>
      </c>
      <c r="E14" s="823">
        <v>491600</v>
      </c>
    </row>
    <row r="15" spans="1:5" ht="17.100000000000001" customHeight="1">
      <c r="A15" s="812"/>
      <c r="B15" s="820"/>
      <c r="C15" s="821" t="s">
        <v>759</v>
      </c>
      <c r="D15" s="822" t="s">
        <v>760</v>
      </c>
      <c r="E15" s="823">
        <v>1256656</v>
      </c>
    </row>
    <row r="16" spans="1:5" ht="17.100000000000001" customHeight="1">
      <c r="A16" s="812"/>
      <c r="B16" s="820"/>
      <c r="C16" s="821" t="s">
        <v>761</v>
      </c>
      <c r="D16" s="822" t="s">
        <v>762</v>
      </c>
      <c r="E16" s="823">
        <v>132200</v>
      </c>
    </row>
    <row r="17" spans="1:5" ht="17.100000000000001" customHeight="1">
      <c r="A17" s="812"/>
      <c r="B17" s="820"/>
      <c r="C17" s="821" t="s">
        <v>763</v>
      </c>
      <c r="D17" s="822" t="s">
        <v>764</v>
      </c>
      <c r="E17" s="823">
        <v>130000</v>
      </c>
    </row>
    <row r="18" spans="1:5" ht="17.100000000000001" customHeight="1">
      <c r="A18" s="812"/>
      <c r="B18" s="820"/>
      <c r="C18" s="824"/>
      <c r="D18" s="824"/>
      <c r="E18" s="825"/>
    </row>
    <row r="19" spans="1:5" ht="17.100000000000001" customHeight="1">
      <c r="A19" s="812"/>
      <c r="B19" s="820"/>
      <c r="C19" s="1578" t="s">
        <v>765</v>
      </c>
      <c r="D19" s="1578"/>
      <c r="E19" s="819">
        <f t="shared" ref="E19" si="2">SUM(E20:E37)</f>
        <v>1885800</v>
      </c>
    </row>
    <row r="20" spans="1:5" ht="17.100000000000001" customHeight="1">
      <c r="A20" s="812"/>
      <c r="B20" s="820"/>
      <c r="C20" s="821" t="s">
        <v>766</v>
      </c>
      <c r="D20" s="822" t="s">
        <v>767</v>
      </c>
      <c r="E20" s="823">
        <v>94000</v>
      </c>
    </row>
    <row r="21" spans="1:5" ht="17.100000000000001" customHeight="1">
      <c r="A21" s="812"/>
      <c r="B21" s="820"/>
      <c r="C21" s="821" t="s">
        <v>768</v>
      </c>
      <c r="D21" s="822" t="s">
        <v>769</v>
      </c>
      <c r="E21" s="823">
        <v>655000</v>
      </c>
    </row>
    <row r="22" spans="1:5" ht="17.100000000000001" customHeight="1">
      <c r="A22" s="812"/>
      <c r="B22" s="820"/>
      <c r="C22" s="821" t="s">
        <v>770</v>
      </c>
      <c r="D22" s="822" t="s">
        <v>771</v>
      </c>
      <c r="E22" s="823">
        <v>3600</v>
      </c>
    </row>
    <row r="23" spans="1:5" ht="17.100000000000001" customHeight="1">
      <c r="A23" s="812"/>
      <c r="B23" s="820"/>
      <c r="C23" s="821" t="s">
        <v>772</v>
      </c>
      <c r="D23" s="822" t="s">
        <v>773</v>
      </c>
      <c r="E23" s="823">
        <v>120000</v>
      </c>
    </row>
    <row r="24" spans="1:5" ht="17.100000000000001" customHeight="1">
      <c r="A24" s="812"/>
      <c r="B24" s="820"/>
      <c r="C24" s="821" t="s">
        <v>774</v>
      </c>
      <c r="D24" s="822" t="s">
        <v>775</v>
      </c>
      <c r="E24" s="823">
        <v>78000</v>
      </c>
    </row>
    <row r="25" spans="1:5" ht="17.100000000000001" customHeight="1">
      <c r="A25" s="812"/>
      <c r="B25" s="820"/>
      <c r="C25" s="821" t="s">
        <v>776</v>
      </c>
      <c r="D25" s="822" t="s">
        <v>777</v>
      </c>
      <c r="E25" s="823">
        <v>9000</v>
      </c>
    </row>
    <row r="26" spans="1:5" ht="17.100000000000001" customHeight="1">
      <c r="A26" s="812"/>
      <c r="B26" s="820"/>
      <c r="C26" s="821" t="s">
        <v>517</v>
      </c>
      <c r="D26" s="822" t="s">
        <v>778</v>
      </c>
      <c r="E26" s="823">
        <v>242888</v>
      </c>
    </row>
    <row r="27" spans="1:5" ht="16.5" customHeight="1">
      <c r="A27" s="812"/>
      <c r="B27" s="820"/>
      <c r="C27" s="821" t="s">
        <v>779</v>
      </c>
      <c r="D27" s="822" t="s">
        <v>780</v>
      </c>
      <c r="E27" s="823">
        <v>36380</v>
      </c>
    </row>
    <row r="28" spans="1:5" ht="16.5" customHeight="1">
      <c r="A28" s="812"/>
      <c r="B28" s="820"/>
      <c r="C28" s="821" t="s">
        <v>781</v>
      </c>
      <c r="D28" s="822" t="s">
        <v>782</v>
      </c>
      <c r="E28" s="823">
        <v>15000</v>
      </c>
    </row>
    <row r="29" spans="1:5" ht="20.100000000000001" customHeight="1">
      <c r="A29" s="812"/>
      <c r="B29" s="820"/>
      <c r="C29" s="821" t="s">
        <v>783</v>
      </c>
      <c r="D29" s="822" t="s">
        <v>784</v>
      </c>
      <c r="E29" s="823">
        <v>325830</v>
      </c>
    </row>
    <row r="30" spans="1:5" ht="17.100000000000001" customHeight="1">
      <c r="A30" s="812"/>
      <c r="B30" s="820"/>
      <c r="C30" s="821" t="s">
        <v>785</v>
      </c>
      <c r="D30" s="822" t="s">
        <v>786</v>
      </c>
      <c r="E30" s="823">
        <v>100000</v>
      </c>
    </row>
    <row r="31" spans="1:5" ht="17.100000000000001" customHeight="1">
      <c r="A31" s="812"/>
      <c r="B31" s="820"/>
      <c r="C31" s="821" t="s">
        <v>787</v>
      </c>
      <c r="D31" s="822" t="s">
        <v>788</v>
      </c>
      <c r="E31" s="823">
        <v>54900</v>
      </c>
    </row>
    <row r="32" spans="1:5" ht="17.100000000000001" customHeight="1">
      <c r="A32" s="812"/>
      <c r="B32" s="820"/>
      <c r="C32" s="821" t="s">
        <v>789</v>
      </c>
      <c r="D32" s="822" t="s">
        <v>790</v>
      </c>
      <c r="E32" s="823">
        <v>133743</v>
      </c>
    </row>
    <row r="33" spans="1:5" ht="17.100000000000001" customHeight="1">
      <c r="A33" s="812"/>
      <c r="B33" s="820"/>
      <c r="C33" s="821" t="s">
        <v>791</v>
      </c>
      <c r="D33" s="822" t="s">
        <v>792</v>
      </c>
      <c r="E33" s="823">
        <v>4830</v>
      </c>
    </row>
    <row r="34" spans="1:5" ht="17.100000000000001" customHeight="1">
      <c r="A34" s="812"/>
      <c r="B34" s="820"/>
      <c r="C34" s="821" t="s">
        <v>793</v>
      </c>
      <c r="D34" s="822" t="s">
        <v>794</v>
      </c>
      <c r="E34" s="823">
        <v>2000</v>
      </c>
    </row>
    <row r="35" spans="1:5" ht="17.100000000000001" customHeight="1">
      <c r="A35" s="812"/>
      <c r="B35" s="820"/>
      <c r="C35" s="821" t="s">
        <v>795</v>
      </c>
      <c r="D35" s="822" t="s">
        <v>796</v>
      </c>
      <c r="E35" s="823">
        <v>629</v>
      </c>
    </row>
    <row r="36" spans="1:5" ht="17.100000000000001" customHeight="1">
      <c r="A36" s="812"/>
      <c r="B36" s="820"/>
      <c r="C36" s="821" t="s">
        <v>797</v>
      </c>
      <c r="D36" s="822" t="s">
        <v>798</v>
      </c>
      <c r="E36" s="823">
        <v>1000</v>
      </c>
    </row>
    <row r="37" spans="1:5" ht="17.100000000000001" customHeight="1">
      <c r="A37" s="812"/>
      <c r="B37" s="820"/>
      <c r="C37" s="821" t="s">
        <v>799</v>
      </c>
      <c r="D37" s="822" t="s">
        <v>800</v>
      </c>
      <c r="E37" s="823">
        <v>9000</v>
      </c>
    </row>
    <row r="38" spans="1:5" ht="17.100000000000001" customHeight="1">
      <c r="A38" s="812"/>
      <c r="B38" s="820"/>
      <c r="C38" s="1579"/>
      <c r="D38" s="1579"/>
      <c r="E38" s="825"/>
    </row>
    <row r="39" spans="1:5" ht="17.100000000000001" customHeight="1">
      <c r="A39" s="812"/>
      <c r="B39" s="820"/>
      <c r="C39" s="1580" t="s">
        <v>801</v>
      </c>
      <c r="D39" s="1580"/>
      <c r="E39" s="823">
        <f t="shared" ref="E39" si="3">E40</f>
        <v>69000</v>
      </c>
    </row>
    <row r="40" spans="1:5" ht="17.100000000000001" customHeight="1">
      <c r="A40" s="812"/>
      <c r="B40" s="820"/>
      <c r="C40" s="826" t="s">
        <v>802</v>
      </c>
      <c r="D40" s="827" t="s">
        <v>803</v>
      </c>
      <c r="E40" s="828">
        <v>69000</v>
      </c>
    </row>
    <row r="41" spans="1:5" ht="17.100000000000001" customHeight="1">
      <c r="A41" s="812"/>
      <c r="B41" s="820"/>
      <c r="C41" s="829"/>
      <c r="D41" s="830"/>
      <c r="E41" s="831"/>
    </row>
    <row r="42" spans="1:5" ht="17.100000000000001" customHeight="1">
      <c r="A42" s="812"/>
      <c r="B42" s="820"/>
      <c r="C42" s="1581" t="s">
        <v>804</v>
      </c>
      <c r="D42" s="1582"/>
      <c r="E42" s="832">
        <f t="shared" ref="E42" si="4">E43</f>
        <v>60000</v>
      </c>
    </row>
    <row r="43" spans="1:5" ht="17.100000000000001" customHeight="1">
      <c r="A43" s="812"/>
      <c r="B43" s="820"/>
      <c r="C43" s="1580" t="s">
        <v>805</v>
      </c>
      <c r="D43" s="1580"/>
      <c r="E43" s="823">
        <f t="shared" ref="E43" si="5">SUM(E44:E44)</f>
        <v>60000</v>
      </c>
    </row>
    <row r="44" spans="1:5" ht="17.100000000000001" customHeight="1" thickBot="1">
      <c r="A44" s="812"/>
      <c r="B44" s="820"/>
      <c r="C44" s="833" t="s">
        <v>401</v>
      </c>
      <c r="D44" s="834" t="s">
        <v>806</v>
      </c>
      <c r="E44" s="835">
        <v>60000</v>
      </c>
    </row>
    <row r="45" spans="1:5" ht="17.100000000000001" customHeight="1" thickBot="1">
      <c r="A45" s="812"/>
      <c r="B45" s="813" t="s">
        <v>807</v>
      </c>
      <c r="C45" s="814"/>
      <c r="D45" s="815" t="s">
        <v>808</v>
      </c>
      <c r="E45" s="836">
        <f>E46</f>
        <v>539280</v>
      </c>
    </row>
    <row r="46" spans="1:5" ht="17.100000000000001" customHeight="1">
      <c r="A46" s="812"/>
      <c r="B46" s="837"/>
      <c r="C46" s="1583" t="s">
        <v>753</v>
      </c>
      <c r="D46" s="1583"/>
      <c r="E46" s="817">
        <f>E47</f>
        <v>539280</v>
      </c>
    </row>
    <row r="47" spans="1:5" ht="17.100000000000001" customHeight="1">
      <c r="A47" s="812"/>
      <c r="B47" s="820"/>
      <c r="C47" s="1588" t="s">
        <v>754</v>
      </c>
      <c r="D47" s="1588"/>
      <c r="E47" s="823">
        <f t="shared" ref="E47" si="6">E48+E55</f>
        <v>539280</v>
      </c>
    </row>
    <row r="48" spans="1:5" ht="17.100000000000001" customHeight="1">
      <c r="A48" s="812"/>
      <c r="B48" s="820"/>
      <c r="C48" s="1589" t="s">
        <v>755</v>
      </c>
      <c r="D48" s="1589"/>
      <c r="E48" s="819">
        <f t="shared" ref="E48" si="7">SUM(E49:E53)</f>
        <v>388380</v>
      </c>
    </row>
    <row r="49" spans="1:5" ht="17.100000000000001" customHeight="1">
      <c r="A49" s="812"/>
      <c r="B49" s="820"/>
      <c r="C49" s="821" t="s">
        <v>538</v>
      </c>
      <c r="D49" s="822" t="s">
        <v>756</v>
      </c>
      <c r="E49" s="823">
        <v>63000</v>
      </c>
    </row>
    <row r="50" spans="1:5" ht="17.100000000000001" customHeight="1">
      <c r="A50" s="812"/>
      <c r="B50" s="820"/>
      <c r="C50" s="821" t="s">
        <v>757</v>
      </c>
      <c r="D50" s="822" t="s">
        <v>758</v>
      </c>
      <c r="E50" s="823">
        <v>84100</v>
      </c>
    </row>
    <row r="51" spans="1:5" ht="17.100000000000001" customHeight="1">
      <c r="A51" s="812"/>
      <c r="B51" s="820"/>
      <c r="C51" s="821" t="s">
        <v>759</v>
      </c>
      <c r="D51" s="822" t="s">
        <v>760</v>
      </c>
      <c r="E51" s="823">
        <v>55320</v>
      </c>
    </row>
    <row r="52" spans="1:5" ht="17.100000000000001" customHeight="1">
      <c r="A52" s="812"/>
      <c r="B52" s="820"/>
      <c r="C52" s="821" t="s">
        <v>761</v>
      </c>
      <c r="D52" s="822" t="s">
        <v>762</v>
      </c>
      <c r="E52" s="823">
        <v>5960</v>
      </c>
    </row>
    <row r="53" spans="1:5" ht="17.100000000000001" customHeight="1">
      <c r="A53" s="812"/>
      <c r="B53" s="820"/>
      <c r="C53" s="821" t="s">
        <v>763</v>
      </c>
      <c r="D53" s="822" t="s">
        <v>764</v>
      </c>
      <c r="E53" s="823">
        <v>180000</v>
      </c>
    </row>
    <row r="54" spans="1:5" ht="17.100000000000001" customHeight="1">
      <c r="A54" s="812"/>
      <c r="B54" s="820"/>
      <c r="C54" s="838"/>
      <c r="D54" s="838"/>
      <c r="E54" s="839"/>
    </row>
    <row r="55" spans="1:5" ht="17.100000000000001" customHeight="1">
      <c r="A55" s="812"/>
      <c r="B55" s="820"/>
      <c r="C55" s="1578" t="s">
        <v>765</v>
      </c>
      <c r="D55" s="1578"/>
      <c r="E55" s="819">
        <f>SUM(E56:E61)</f>
        <v>150900</v>
      </c>
    </row>
    <row r="56" spans="1:5" ht="17.100000000000001" customHeight="1">
      <c r="A56" s="812"/>
      <c r="B56" s="820"/>
      <c r="C56" s="821" t="s">
        <v>768</v>
      </c>
      <c r="D56" s="822" t="s">
        <v>769</v>
      </c>
      <c r="E56" s="823">
        <v>20000</v>
      </c>
    </row>
    <row r="57" spans="1:5" ht="17.100000000000001" customHeight="1">
      <c r="A57" s="812"/>
      <c r="B57" s="820"/>
      <c r="C57" s="821" t="s">
        <v>772</v>
      </c>
      <c r="D57" s="822" t="s">
        <v>773</v>
      </c>
      <c r="E57" s="823">
        <v>22100</v>
      </c>
    </row>
    <row r="58" spans="1:5" ht="17.100000000000001" customHeight="1">
      <c r="A58" s="812"/>
      <c r="B58" s="820"/>
      <c r="C58" s="821" t="s">
        <v>774</v>
      </c>
      <c r="D58" s="822" t="s">
        <v>775</v>
      </c>
      <c r="E58" s="823">
        <v>5000</v>
      </c>
    </row>
    <row r="59" spans="1:5" ht="17.100000000000001" customHeight="1">
      <c r="A59" s="812"/>
      <c r="B59" s="820"/>
      <c r="C59" s="821" t="s">
        <v>517</v>
      </c>
      <c r="D59" s="822" t="s">
        <v>778</v>
      </c>
      <c r="E59" s="823">
        <v>95000</v>
      </c>
    </row>
    <row r="60" spans="1:5" ht="16.5" customHeight="1">
      <c r="A60" s="812"/>
      <c r="B60" s="820"/>
      <c r="C60" s="821" t="s">
        <v>779</v>
      </c>
      <c r="D60" s="822" t="s">
        <v>780</v>
      </c>
      <c r="E60" s="823">
        <v>5800</v>
      </c>
    </row>
    <row r="61" spans="1:5" ht="17.100000000000001" customHeight="1" thickBot="1">
      <c r="A61" s="812"/>
      <c r="B61" s="820"/>
      <c r="C61" s="821" t="s">
        <v>785</v>
      </c>
      <c r="D61" s="822" t="s">
        <v>786</v>
      </c>
      <c r="E61" s="823">
        <v>3000</v>
      </c>
    </row>
    <row r="62" spans="1:5" ht="17.100000000000001" customHeight="1" thickBot="1">
      <c r="A62" s="812"/>
      <c r="B62" s="813" t="s">
        <v>219</v>
      </c>
      <c r="C62" s="814"/>
      <c r="D62" s="815" t="s">
        <v>220</v>
      </c>
      <c r="E62" s="840">
        <f>E63+E85</f>
        <v>7368000</v>
      </c>
    </row>
    <row r="63" spans="1:5" ht="17.100000000000001" customHeight="1">
      <c r="A63" s="812"/>
      <c r="B63" s="1587"/>
      <c r="C63" s="1583" t="s">
        <v>753</v>
      </c>
      <c r="D63" s="1583"/>
      <c r="E63" s="817">
        <f>E64+E82</f>
        <v>4350000</v>
      </c>
    </row>
    <row r="64" spans="1:5" ht="17.100000000000001" customHeight="1">
      <c r="A64" s="812"/>
      <c r="B64" s="1587"/>
      <c r="C64" s="1588" t="s">
        <v>754</v>
      </c>
      <c r="D64" s="1588"/>
      <c r="E64" s="828">
        <f t="shared" ref="E64" si="8">E65+E71</f>
        <v>4330000</v>
      </c>
    </row>
    <row r="65" spans="1:5" ht="17.100000000000001" customHeight="1">
      <c r="A65" s="812"/>
      <c r="B65" s="1587"/>
      <c r="C65" s="1589" t="s">
        <v>755</v>
      </c>
      <c r="D65" s="1589"/>
      <c r="E65" s="841">
        <f t="shared" ref="E65" si="9">E66+E68+E69+E67</f>
        <v>1380341</v>
      </c>
    </row>
    <row r="66" spans="1:5" ht="17.100000000000001" customHeight="1">
      <c r="A66" s="812"/>
      <c r="B66" s="1587"/>
      <c r="C66" s="821" t="s">
        <v>538</v>
      </c>
      <c r="D66" s="822" t="s">
        <v>756</v>
      </c>
      <c r="E66" s="828">
        <v>1080106</v>
      </c>
    </row>
    <row r="67" spans="1:5" ht="17.100000000000001" customHeight="1">
      <c r="A67" s="812"/>
      <c r="B67" s="1587"/>
      <c r="C67" s="821" t="s">
        <v>757</v>
      </c>
      <c r="D67" s="822" t="s">
        <v>758</v>
      </c>
      <c r="E67" s="828">
        <v>82280</v>
      </c>
    </row>
    <row r="68" spans="1:5" ht="17.100000000000001" customHeight="1">
      <c r="A68" s="812"/>
      <c r="B68" s="1587"/>
      <c r="C68" s="821" t="s">
        <v>759</v>
      </c>
      <c r="D68" s="822" t="s">
        <v>760</v>
      </c>
      <c r="E68" s="828">
        <v>196149</v>
      </c>
    </row>
    <row r="69" spans="1:5" ht="17.100000000000001" customHeight="1">
      <c r="A69" s="812"/>
      <c r="B69" s="1587"/>
      <c r="C69" s="821" t="s">
        <v>761</v>
      </c>
      <c r="D69" s="822" t="s">
        <v>762</v>
      </c>
      <c r="E69" s="828">
        <v>21806</v>
      </c>
    </row>
    <row r="70" spans="1:5" ht="17.100000000000001" customHeight="1">
      <c r="A70" s="812"/>
      <c r="B70" s="1587"/>
      <c r="C70" s="838"/>
      <c r="D70" s="842"/>
      <c r="E70" s="843"/>
    </row>
    <row r="71" spans="1:5" ht="17.100000000000001" customHeight="1">
      <c r="A71" s="812"/>
      <c r="B71" s="1587"/>
      <c r="C71" s="1591" t="s">
        <v>765</v>
      </c>
      <c r="D71" s="1578"/>
      <c r="E71" s="841">
        <f>SUM(E72:E80)</f>
        <v>2949659</v>
      </c>
    </row>
    <row r="72" spans="1:5" ht="17.100000000000001" customHeight="1">
      <c r="A72" s="812"/>
      <c r="B72" s="1587"/>
      <c r="C72" s="844" t="s">
        <v>768</v>
      </c>
      <c r="D72" s="822" t="s">
        <v>769</v>
      </c>
      <c r="E72" s="828">
        <v>20000</v>
      </c>
    </row>
    <row r="73" spans="1:5" ht="17.100000000000001" customHeight="1">
      <c r="A73" s="812"/>
      <c r="B73" s="1587"/>
      <c r="C73" s="821" t="s">
        <v>772</v>
      </c>
      <c r="D73" s="822" t="s">
        <v>773</v>
      </c>
      <c r="E73" s="828">
        <v>500000</v>
      </c>
    </row>
    <row r="74" spans="1:5" ht="17.100000000000001" customHeight="1">
      <c r="A74" s="812"/>
      <c r="B74" s="1587"/>
      <c r="C74" s="821" t="s">
        <v>774</v>
      </c>
      <c r="D74" s="822" t="s">
        <v>775</v>
      </c>
      <c r="E74" s="828">
        <v>2374050</v>
      </c>
    </row>
    <row r="75" spans="1:5" ht="17.100000000000001" customHeight="1">
      <c r="A75" s="812"/>
      <c r="B75" s="1587"/>
      <c r="C75" s="821" t="s">
        <v>776</v>
      </c>
      <c r="D75" s="822" t="s">
        <v>777</v>
      </c>
      <c r="E75" s="828">
        <v>2500</v>
      </c>
    </row>
    <row r="76" spans="1:5" ht="17.100000000000001" customHeight="1">
      <c r="A76" s="812"/>
      <c r="B76" s="1587"/>
      <c r="C76" s="821" t="s">
        <v>517</v>
      </c>
      <c r="D76" s="822" t="s">
        <v>778</v>
      </c>
      <c r="E76" s="828">
        <v>5000</v>
      </c>
    </row>
    <row r="77" spans="1:5" ht="16.5" customHeight="1">
      <c r="A77" s="812"/>
      <c r="B77" s="1587"/>
      <c r="C77" s="821" t="s">
        <v>779</v>
      </c>
      <c r="D77" s="822" t="s">
        <v>780</v>
      </c>
      <c r="E77" s="828">
        <v>2500</v>
      </c>
    </row>
    <row r="78" spans="1:5" ht="17.100000000000001" customHeight="1">
      <c r="A78" s="812"/>
      <c r="B78" s="1587"/>
      <c r="C78" s="821" t="s">
        <v>789</v>
      </c>
      <c r="D78" s="822" t="s">
        <v>790</v>
      </c>
      <c r="E78" s="828">
        <v>40609</v>
      </c>
    </row>
    <row r="79" spans="1:5" ht="17.100000000000001" customHeight="1">
      <c r="A79" s="812"/>
      <c r="B79" s="1587"/>
      <c r="C79" s="821" t="s">
        <v>791</v>
      </c>
      <c r="D79" s="822" t="s">
        <v>792</v>
      </c>
      <c r="E79" s="828">
        <v>2000</v>
      </c>
    </row>
    <row r="80" spans="1:5" ht="17.100000000000001" customHeight="1">
      <c r="A80" s="812"/>
      <c r="B80" s="1587"/>
      <c r="C80" s="833" t="s">
        <v>809</v>
      </c>
      <c r="D80" s="834" t="s">
        <v>810</v>
      </c>
      <c r="E80" s="828">
        <v>3000</v>
      </c>
    </row>
    <row r="81" spans="1:5" ht="17.100000000000001" customHeight="1">
      <c r="A81" s="812"/>
      <c r="B81" s="1587"/>
      <c r="C81" s="845"/>
      <c r="D81" s="846"/>
      <c r="E81" s="847"/>
    </row>
    <row r="82" spans="1:5" ht="17.100000000000001" customHeight="1">
      <c r="A82" s="812"/>
      <c r="B82" s="1587"/>
      <c r="C82" s="1592" t="s">
        <v>801</v>
      </c>
      <c r="D82" s="1592"/>
      <c r="E82" s="848">
        <f t="shared" ref="E82" si="10">E83</f>
        <v>20000</v>
      </c>
    </row>
    <row r="83" spans="1:5" ht="17.100000000000001" customHeight="1">
      <c r="A83" s="812"/>
      <c r="B83" s="1587"/>
      <c r="C83" s="849" t="s">
        <v>802</v>
      </c>
      <c r="D83" s="850" t="s">
        <v>803</v>
      </c>
      <c r="E83" s="851">
        <v>20000</v>
      </c>
    </row>
    <row r="84" spans="1:5" ht="17.100000000000001" customHeight="1">
      <c r="A84" s="812"/>
      <c r="B84" s="1587"/>
      <c r="C84" s="852"/>
      <c r="D84" s="852"/>
      <c r="E84" s="853"/>
    </row>
    <row r="85" spans="1:5" ht="17.100000000000001" customHeight="1">
      <c r="A85" s="812"/>
      <c r="B85" s="1587"/>
      <c r="C85" s="1593" t="s">
        <v>804</v>
      </c>
      <c r="D85" s="1593"/>
      <c r="E85" s="817">
        <f t="shared" ref="E85" si="11">E86</f>
        <v>3018000</v>
      </c>
    </row>
    <row r="86" spans="1:5" ht="17.100000000000001" customHeight="1">
      <c r="A86" s="812"/>
      <c r="B86" s="1587"/>
      <c r="C86" s="1580" t="s">
        <v>805</v>
      </c>
      <c r="D86" s="1580"/>
      <c r="E86" s="828">
        <f>SUM(E87:E87)</f>
        <v>3018000</v>
      </c>
    </row>
    <row r="87" spans="1:5" ht="20.25" customHeight="1">
      <c r="A87" s="812"/>
      <c r="B87" s="1587"/>
      <c r="C87" s="826" t="s">
        <v>405</v>
      </c>
      <c r="D87" s="854" t="s">
        <v>806</v>
      </c>
      <c r="E87" s="828">
        <v>3018000</v>
      </c>
    </row>
    <row r="88" spans="1:5" ht="17.100000000000001" customHeight="1">
      <c r="A88" s="812"/>
      <c r="B88" s="1590"/>
      <c r="C88" s="838"/>
      <c r="D88" s="842"/>
      <c r="E88" s="843"/>
    </row>
    <row r="89" spans="1:5" ht="17.100000000000001" customHeight="1">
      <c r="A89" s="812"/>
      <c r="B89" s="1590"/>
      <c r="C89" s="1578" t="s">
        <v>811</v>
      </c>
      <c r="D89" s="1596"/>
      <c r="E89" s="828">
        <f>E90</f>
        <v>291000</v>
      </c>
    </row>
    <row r="90" spans="1:5" ht="17.100000000000001" customHeight="1" thickBot="1">
      <c r="A90" s="812"/>
      <c r="B90" s="1590"/>
      <c r="C90" s="855" t="s">
        <v>405</v>
      </c>
      <c r="D90" s="856" t="s">
        <v>806</v>
      </c>
      <c r="E90" s="857">
        <v>291000</v>
      </c>
    </row>
    <row r="91" spans="1:5" ht="17.100000000000001" customHeight="1" thickBot="1">
      <c r="A91" s="812"/>
      <c r="B91" s="813" t="s">
        <v>433</v>
      </c>
      <c r="C91" s="814"/>
      <c r="D91" s="815" t="s">
        <v>812</v>
      </c>
      <c r="E91" s="816">
        <f t="shared" ref="E91:E92" si="12">E92</f>
        <v>4915000</v>
      </c>
    </row>
    <row r="92" spans="1:5" ht="17.100000000000001" customHeight="1">
      <c r="A92" s="812"/>
      <c r="B92" s="1597"/>
      <c r="C92" s="1583" t="s">
        <v>753</v>
      </c>
      <c r="D92" s="1583"/>
      <c r="E92" s="817">
        <f t="shared" si="12"/>
        <v>4915000</v>
      </c>
    </row>
    <row r="93" spans="1:5" ht="17.100000000000001" customHeight="1">
      <c r="A93" s="812"/>
      <c r="B93" s="1597"/>
      <c r="C93" s="1588" t="s">
        <v>813</v>
      </c>
      <c r="D93" s="1588"/>
      <c r="E93" s="828">
        <f>SUM(E94:E119)</f>
        <v>4915000</v>
      </c>
    </row>
    <row r="94" spans="1:5" ht="17.100000000000001" customHeight="1">
      <c r="A94" s="812"/>
      <c r="B94" s="1597"/>
      <c r="C94" s="821" t="s">
        <v>362</v>
      </c>
      <c r="D94" s="822" t="s">
        <v>756</v>
      </c>
      <c r="E94" s="828">
        <v>1715691</v>
      </c>
    </row>
    <row r="95" spans="1:5" ht="17.100000000000001" customHeight="1">
      <c r="A95" s="812"/>
      <c r="B95" s="1597"/>
      <c r="C95" s="821" t="s">
        <v>363</v>
      </c>
      <c r="D95" s="822" t="s">
        <v>756</v>
      </c>
      <c r="E95" s="828">
        <v>981309</v>
      </c>
    </row>
    <row r="96" spans="1:5" ht="17.100000000000001" customHeight="1">
      <c r="A96" s="812"/>
      <c r="B96" s="1597"/>
      <c r="C96" s="821" t="s">
        <v>364</v>
      </c>
      <c r="D96" s="822" t="s">
        <v>758</v>
      </c>
      <c r="E96" s="828">
        <v>152712</v>
      </c>
    </row>
    <row r="97" spans="1:5" ht="17.100000000000001" customHeight="1">
      <c r="A97" s="812"/>
      <c r="B97" s="1597"/>
      <c r="C97" s="821" t="s">
        <v>365</v>
      </c>
      <c r="D97" s="822" t="s">
        <v>758</v>
      </c>
      <c r="E97" s="828">
        <v>87288</v>
      </c>
    </row>
    <row r="98" spans="1:5" ht="17.100000000000001" customHeight="1">
      <c r="A98" s="812"/>
      <c r="B98" s="1597"/>
      <c r="C98" s="821" t="s">
        <v>336</v>
      </c>
      <c r="D98" s="822" t="s">
        <v>760</v>
      </c>
      <c r="E98" s="828">
        <v>325149</v>
      </c>
    </row>
    <row r="99" spans="1:5" ht="17.100000000000001" customHeight="1">
      <c r="A99" s="812"/>
      <c r="B99" s="1597"/>
      <c r="C99" s="821" t="s">
        <v>337</v>
      </c>
      <c r="D99" s="822" t="s">
        <v>760</v>
      </c>
      <c r="E99" s="828">
        <v>185851</v>
      </c>
    </row>
    <row r="100" spans="1:5" ht="17.100000000000001" customHeight="1">
      <c r="A100" s="812"/>
      <c r="B100" s="1597"/>
      <c r="C100" s="821" t="s">
        <v>366</v>
      </c>
      <c r="D100" s="822" t="s">
        <v>762</v>
      </c>
      <c r="E100" s="828">
        <v>45813</v>
      </c>
    </row>
    <row r="101" spans="1:5" ht="17.100000000000001" customHeight="1">
      <c r="A101" s="812"/>
      <c r="B101" s="1597"/>
      <c r="C101" s="821" t="s">
        <v>367</v>
      </c>
      <c r="D101" s="822" t="s">
        <v>762</v>
      </c>
      <c r="E101" s="828">
        <v>26187</v>
      </c>
    </row>
    <row r="102" spans="1:5" ht="17.100000000000001" customHeight="1">
      <c r="A102" s="812"/>
      <c r="B102" s="1597"/>
      <c r="C102" s="821" t="s">
        <v>338</v>
      </c>
      <c r="D102" s="822" t="s">
        <v>764</v>
      </c>
      <c r="E102" s="828">
        <v>6363</v>
      </c>
    </row>
    <row r="103" spans="1:5" ht="17.100000000000001" customHeight="1">
      <c r="A103" s="812"/>
      <c r="B103" s="1597"/>
      <c r="C103" s="821" t="s">
        <v>339</v>
      </c>
      <c r="D103" s="822" t="s">
        <v>764</v>
      </c>
      <c r="E103" s="828">
        <v>3637</v>
      </c>
    </row>
    <row r="104" spans="1:5" ht="17.100000000000001" customHeight="1">
      <c r="A104" s="812"/>
      <c r="B104" s="1597"/>
      <c r="C104" s="821" t="s">
        <v>438</v>
      </c>
      <c r="D104" s="822" t="s">
        <v>814</v>
      </c>
      <c r="E104" s="828">
        <v>190890</v>
      </c>
    </row>
    <row r="105" spans="1:5" ht="17.100000000000001" customHeight="1">
      <c r="A105" s="812"/>
      <c r="B105" s="1597"/>
      <c r="C105" s="821" t="s">
        <v>439</v>
      </c>
      <c r="D105" s="822" t="s">
        <v>814</v>
      </c>
      <c r="E105" s="828">
        <v>109110</v>
      </c>
    </row>
    <row r="106" spans="1:5" ht="17.100000000000001" customHeight="1">
      <c r="A106" s="812"/>
      <c r="B106" s="1597"/>
      <c r="C106" s="821" t="s">
        <v>341</v>
      </c>
      <c r="D106" s="822" t="s">
        <v>769</v>
      </c>
      <c r="E106" s="828">
        <v>149530</v>
      </c>
    </row>
    <row r="107" spans="1:5" ht="17.100000000000001" customHeight="1">
      <c r="A107" s="812"/>
      <c r="B107" s="1597"/>
      <c r="C107" s="821" t="s">
        <v>342</v>
      </c>
      <c r="D107" s="822" t="s">
        <v>769</v>
      </c>
      <c r="E107" s="828">
        <v>85470</v>
      </c>
    </row>
    <row r="108" spans="1:5" ht="17.100000000000001" customHeight="1">
      <c r="A108" s="812"/>
      <c r="B108" s="1597"/>
      <c r="C108" s="821" t="s">
        <v>440</v>
      </c>
      <c r="D108" s="822" t="s">
        <v>775</v>
      </c>
      <c r="E108" s="828">
        <v>1908</v>
      </c>
    </row>
    <row r="109" spans="1:5" ht="17.100000000000001" customHeight="1">
      <c r="A109" s="812"/>
      <c r="B109" s="1597"/>
      <c r="C109" s="821" t="s">
        <v>441</v>
      </c>
      <c r="D109" s="822" t="s">
        <v>775</v>
      </c>
      <c r="E109" s="828">
        <v>1092</v>
      </c>
    </row>
    <row r="110" spans="1:5" ht="17.100000000000001" customHeight="1">
      <c r="A110" s="812"/>
      <c r="B110" s="1597"/>
      <c r="C110" s="821" t="s">
        <v>343</v>
      </c>
      <c r="D110" s="822" t="s">
        <v>778</v>
      </c>
      <c r="E110" s="828">
        <v>491223</v>
      </c>
    </row>
    <row r="111" spans="1:5" ht="17.100000000000001" customHeight="1">
      <c r="A111" s="812"/>
      <c r="B111" s="1597"/>
      <c r="C111" s="821" t="s">
        <v>344</v>
      </c>
      <c r="D111" s="822" t="s">
        <v>778</v>
      </c>
      <c r="E111" s="828">
        <v>280777</v>
      </c>
    </row>
    <row r="112" spans="1:5" ht="17.100000000000001" customHeight="1">
      <c r="A112" s="812"/>
      <c r="B112" s="1597"/>
      <c r="C112" s="821" t="s">
        <v>352</v>
      </c>
      <c r="D112" s="822" t="s">
        <v>782</v>
      </c>
      <c r="E112" s="828">
        <v>1908</v>
      </c>
    </row>
    <row r="113" spans="1:5" ht="17.100000000000001" customHeight="1">
      <c r="A113" s="812"/>
      <c r="B113" s="1597"/>
      <c r="C113" s="821" t="s">
        <v>353</v>
      </c>
      <c r="D113" s="822" t="s">
        <v>782</v>
      </c>
      <c r="E113" s="828">
        <v>1092</v>
      </c>
    </row>
    <row r="114" spans="1:5" ht="17.100000000000001" customHeight="1">
      <c r="A114" s="812"/>
      <c r="B114" s="1597"/>
      <c r="C114" s="821" t="s">
        <v>345</v>
      </c>
      <c r="D114" s="822" t="s">
        <v>786</v>
      </c>
      <c r="E114" s="828">
        <v>14635</v>
      </c>
    </row>
    <row r="115" spans="1:5" ht="17.100000000000001" customHeight="1">
      <c r="A115" s="812"/>
      <c r="B115" s="1597"/>
      <c r="C115" s="821" t="s">
        <v>346</v>
      </c>
      <c r="D115" s="822" t="s">
        <v>786</v>
      </c>
      <c r="E115" s="828">
        <v>8365</v>
      </c>
    </row>
    <row r="116" spans="1:5" ht="17.100000000000001" customHeight="1">
      <c r="A116" s="812"/>
      <c r="B116" s="1597"/>
      <c r="C116" s="821" t="s">
        <v>442</v>
      </c>
      <c r="D116" s="822" t="s">
        <v>788</v>
      </c>
      <c r="E116" s="828">
        <v>9544</v>
      </c>
    </row>
    <row r="117" spans="1:5" ht="17.100000000000001" customHeight="1">
      <c r="A117" s="812"/>
      <c r="B117" s="1597"/>
      <c r="C117" s="821" t="s">
        <v>443</v>
      </c>
      <c r="D117" s="822" t="s">
        <v>788</v>
      </c>
      <c r="E117" s="828">
        <v>5456</v>
      </c>
    </row>
    <row r="118" spans="1:5" ht="17.100000000000001" customHeight="1">
      <c r="A118" s="812"/>
      <c r="B118" s="1597"/>
      <c r="C118" s="821" t="s">
        <v>380</v>
      </c>
      <c r="D118" s="822" t="s">
        <v>800</v>
      </c>
      <c r="E118" s="828">
        <v>21634</v>
      </c>
    </row>
    <row r="119" spans="1:5" ht="17.100000000000001" customHeight="1" thickBot="1">
      <c r="A119" s="812"/>
      <c r="B119" s="1597"/>
      <c r="C119" s="833" t="s">
        <v>381</v>
      </c>
      <c r="D119" s="834" t="s">
        <v>800</v>
      </c>
      <c r="E119" s="828">
        <v>12366</v>
      </c>
    </row>
    <row r="120" spans="1:5" ht="17.100000000000001" customHeight="1" thickBot="1">
      <c r="A120" s="812"/>
      <c r="B120" s="858" t="s">
        <v>117</v>
      </c>
      <c r="C120" s="859"/>
      <c r="D120" s="860" t="s">
        <v>601</v>
      </c>
      <c r="E120" s="861">
        <f t="shared" ref="E120" si="13">E121+E131</f>
        <v>8000000</v>
      </c>
    </row>
    <row r="121" spans="1:5" ht="17.100000000000001" customHeight="1">
      <c r="A121" s="812"/>
      <c r="B121" s="862"/>
      <c r="C121" s="1583" t="s">
        <v>753</v>
      </c>
      <c r="D121" s="1583"/>
      <c r="E121" s="817">
        <f t="shared" ref="E121" si="14">E122+E127</f>
        <v>2760000</v>
      </c>
    </row>
    <row r="122" spans="1:5" ht="17.100000000000001" customHeight="1">
      <c r="A122" s="812"/>
      <c r="B122" s="862"/>
      <c r="C122" s="1588" t="s">
        <v>754</v>
      </c>
      <c r="D122" s="1588"/>
      <c r="E122" s="828">
        <f t="shared" ref="E122" si="15">E123</f>
        <v>105000</v>
      </c>
    </row>
    <row r="123" spans="1:5" ht="17.100000000000001" customHeight="1">
      <c r="A123" s="812"/>
      <c r="B123" s="862"/>
      <c r="C123" s="1578" t="s">
        <v>765</v>
      </c>
      <c r="D123" s="1578"/>
      <c r="E123" s="828">
        <f t="shared" ref="E123" si="16">SUM(E124:E125)</f>
        <v>105000</v>
      </c>
    </row>
    <row r="124" spans="1:5" ht="17.100000000000001" customHeight="1">
      <c r="A124" s="812"/>
      <c r="B124" s="862"/>
      <c r="C124" s="821" t="s">
        <v>768</v>
      </c>
      <c r="D124" s="822" t="s">
        <v>769</v>
      </c>
      <c r="E124" s="828">
        <v>80000</v>
      </c>
    </row>
    <row r="125" spans="1:5" ht="17.100000000000001" customHeight="1">
      <c r="A125" s="812"/>
      <c r="B125" s="862"/>
      <c r="C125" s="821" t="s">
        <v>517</v>
      </c>
      <c r="D125" s="822" t="s">
        <v>778</v>
      </c>
      <c r="E125" s="828">
        <v>25000</v>
      </c>
    </row>
    <row r="126" spans="1:5" ht="17.100000000000001" customHeight="1">
      <c r="A126" s="812"/>
      <c r="B126" s="862"/>
      <c r="C126" s="1594"/>
      <c r="D126" s="1579"/>
      <c r="E126" s="825"/>
    </row>
    <row r="127" spans="1:5" ht="17.100000000000001" customHeight="1">
      <c r="A127" s="812"/>
      <c r="B127" s="862"/>
      <c r="C127" s="1588" t="s">
        <v>815</v>
      </c>
      <c r="D127" s="1588"/>
      <c r="E127" s="828">
        <f t="shared" ref="E127" si="17">SUM(E128:E129)</f>
        <v>2655000</v>
      </c>
    </row>
    <row r="128" spans="1:5" ht="30.75" customHeight="1">
      <c r="A128" s="812"/>
      <c r="B128" s="862"/>
      <c r="C128" s="821" t="s">
        <v>816</v>
      </c>
      <c r="D128" s="822" t="s">
        <v>817</v>
      </c>
      <c r="E128" s="828">
        <v>2605000</v>
      </c>
    </row>
    <row r="129" spans="1:5" ht="30.75" customHeight="1">
      <c r="A129" s="812"/>
      <c r="B129" s="862"/>
      <c r="C129" s="821" t="s">
        <v>729</v>
      </c>
      <c r="D129" s="822" t="s">
        <v>818</v>
      </c>
      <c r="E129" s="828">
        <v>50000</v>
      </c>
    </row>
    <row r="130" spans="1:5" ht="17.100000000000001" customHeight="1">
      <c r="A130" s="812"/>
      <c r="B130" s="1587"/>
      <c r="C130" s="1594"/>
      <c r="D130" s="1579"/>
      <c r="E130" s="825"/>
    </row>
    <row r="131" spans="1:5" ht="17.100000000000001" customHeight="1">
      <c r="A131" s="812"/>
      <c r="B131" s="1587"/>
      <c r="C131" s="1595" t="s">
        <v>804</v>
      </c>
      <c r="D131" s="1595"/>
      <c r="E131" s="832">
        <f t="shared" ref="E131" si="18">E132</f>
        <v>5240000</v>
      </c>
    </row>
    <row r="132" spans="1:5" ht="17.100000000000001" customHeight="1">
      <c r="A132" s="812"/>
      <c r="B132" s="1587"/>
      <c r="C132" s="1580" t="s">
        <v>805</v>
      </c>
      <c r="D132" s="1580"/>
      <c r="E132" s="828">
        <f t="shared" ref="E132" si="19">SUM(E133:E135)</f>
        <v>5240000</v>
      </c>
    </row>
    <row r="133" spans="1:5" ht="17.100000000000001" customHeight="1">
      <c r="A133" s="812"/>
      <c r="B133" s="1587"/>
      <c r="C133" s="821" t="s">
        <v>401</v>
      </c>
      <c r="D133" s="822" t="s">
        <v>819</v>
      </c>
      <c r="E133" s="828">
        <v>150000</v>
      </c>
    </row>
    <row r="134" spans="1:5" ht="37.5" customHeight="1">
      <c r="A134" s="812"/>
      <c r="B134" s="1587"/>
      <c r="C134" s="821" t="s">
        <v>820</v>
      </c>
      <c r="D134" s="822" t="s">
        <v>821</v>
      </c>
      <c r="E134" s="828">
        <v>5040000</v>
      </c>
    </row>
    <row r="135" spans="1:5" ht="39" thickBot="1">
      <c r="A135" s="812"/>
      <c r="B135" s="1587"/>
      <c r="C135" s="833" t="s">
        <v>822</v>
      </c>
      <c r="D135" s="834" t="s">
        <v>823</v>
      </c>
      <c r="E135" s="857">
        <v>50000</v>
      </c>
    </row>
    <row r="136" spans="1:5" ht="17.100000000000001" customHeight="1" thickBot="1">
      <c r="A136" s="812"/>
      <c r="B136" s="858" t="s">
        <v>118</v>
      </c>
      <c r="C136" s="859"/>
      <c r="D136" s="860" t="s">
        <v>213</v>
      </c>
      <c r="E136" s="861">
        <f t="shared" ref="E136" si="20">E137</f>
        <v>4092099</v>
      </c>
    </row>
    <row r="137" spans="1:5" ht="17.100000000000001" customHeight="1">
      <c r="A137" s="812"/>
      <c r="B137" s="837"/>
      <c r="C137" s="1583" t="s">
        <v>753</v>
      </c>
      <c r="D137" s="1583"/>
      <c r="E137" s="817">
        <f>E138+E152</f>
        <v>4092099</v>
      </c>
    </row>
    <row r="138" spans="1:5" ht="17.100000000000001" customHeight="1">
      <c r="A138" s="812"/>
      <c r="B138" s="837"/>
      <c r="C138" s="1588" t="s">
        <v>754</v>
      </c>
      <c r="D138" s="1588"/>
      <c r="E138" s="828">
        <f>E144+E139</f>
        <v>2092099</v>
      </c>
    </row>
    <row r="139" spans="1:5" ht="17.100000000000001" customHeight="1">
      <c r="A139" s="812"/>
      <c r="B139" s="837"/>
      <c r="C139" s="1598" t="s">
        <v>755</v>
      </c>
      <c r="D139" s="1599"/>
      <c r="E139" s="841">
        <f>SUM(E140:E142)</f>
        <v>966710</v>
      </c>
    </row>
    <row r="140" spans="1:5" ht="17.100000000000001" customHeight="1">
      <c r="A140" s="812"/>
      <c r="B140" s="837"/>
      <c r="C140" s="863" t="s">
        <v>538</v>
      </c>
      <c r="D140" s="864" t="s">
        <v>756</v>
      </c>
      <c r="E140" s="828">
        <v>753191</v>
      </c>
    </row>
    <row r="141" spans="1:5" ht="17.100000000000001" customHeight="1">
      <c r="A141" s="812"/>
      <c r="B141" s="837"/>
      <c r="C141" s="863" t="s">
        <v>757</v>
      </c>
      <c r="D141" s="822" t="s">
        <v>758</v>
      </c>
      <c r="E141" s="828">
        <v>53543</v>
      </c>
    </row>
    <row r="142" spans="1:5" ht="17.100000000000001" customHeight="1">
      <c r="A142" s="812"/>
      <c r="B142" s="837"/>
      <c r="C142" s="863" t="s">
        <v>759</v>
      </c>
      <c r="D142" s="864" t="s">
        <v>760</v>
      </c>
      <c r="E142" s="828">
        <v>159976</v>
      </c>
    </row>
    <row r="143" spans="1:5" ht="17.100000000000001" customHeight="1">
      <c r="A143" s="812"/>
      <c r="B143" s="837"/>
      <c r="C143" s="1600"/>
      <c r="D143" s="1601"/>
      <c r="E143" s="828"/>
    </row>
    <row r="144" spans="1:5" ht="17.100000000000001" customHeight="1">
      <c r="A144" s="812"/>
      <c r="B144" s="837"/>
      <c r="C144" s="1578" t="s">
        <v>765</v>
      </c>
      <c r="D144" s="1578"/>
      <c r="E144" s="828">
        <f>SUM(E145:E150)</f>
        <v>1125389</v>
      </c>
    </row>
    <row r="145" spans="1:5" ht="17.100000000000001" customHeight="1">
      <c r="A145" s="812"/>
      <c r="B145" s="837"/>
      <c r="C145" s="865" t="s">
        <v>766</v>
      </c>
      <c r="D145" s="866" t="s">
        <v>767</v>
      </c>
      <c r="E145" s="828">
        <v>18780</v>
      </c>
    </row>
    <row r="146" spans="1:5" ht="17.100000000000001" customHeight="1">
      <c r="A146" s="812"/>
      <c r="B146" s="837"/>
      <c r="C146" s="821" t="s">
        <v>824</v>
      </c>
      <c r="D146" s="866" t="s">
        <v>814</v>
      </c>
      <c r="E146" s="828">
        <f>20000+12000</f>
        <v>32000</v>
      </c>
    </row>
    <row r="147" spans="1:5" ht="17.100000000000001" customHeight="1">
      <c r="A147" s="812"/>
      <c r="B147" s="837"/>
      <c r="C147" s="821" t="s">
        <v>768</v>
      </c>
      <c r="D147" s="866" t="s">
        <v>769</v>
      </c>
      <c r="E147" s="828">
        <v>15000</v>
      </c>
    </row>
    <row r="148" spans="1:5" ht="17.100000000000001" customHeight="1">
      <c r="A148" s="812"/>
      <c r="B148" s="820"/>
      <c r="C148" s="821" t="s">
        <v>517</v>
      </c>
      <c r="D148" s="822" t="s">
        <v>778</v>
      </c>
      <c r="E148" s="828">
        <f>680000+164609+10000</f>
        <v>854609</v>
      </c>
    </row>
    <row r="149" spans="1:5" ht="17.100000000000001" customHeight="1">
      <c r="A149" s="812"/>
      <c r="B149" s="820"/>
      <c r="C149" s="821" t="s">
        <v>781</v>
      </c>
      <c r="D149" s="822" t="s">
        <v>782</v>
      </c>
      <c r="E149" s="828">
        <v>200000</v>
      </c>
    </row>
    <row r="150" spans="1:5" ht="17.100000000000001" customHeight="1">
      <c r="A150" s="812"/>
      <c r="B150" s="820"/>
      <c r="C150" s="821" t="s">
        <v>825</v>
      </c>
      <c r="D150" s="822" t="s">
        <v>826</v>
      </c>
      <c r="E150" s="828">
        <v>5000</v>
      </c>
    </row>
    <row r="151" spans="1:5" ht="17.100000000000001" customHeight="1">
      <c r="A151" s="812"/>
      <c r="B151" s="820"/>
      <c r="C151" s="824"/>
      <c r="D151" s="824"/>
      <c r="E151" s="867"/>
    </row>
    <row r="152" spans="1:5" ht="17.100000000000001" customHeight="1">
      <c r="A152" s="812"/>
      <c r="B152" s="820"/>
      <c r="C152" s="1602" t="s">
        <v>815</v>
      </c>
      <c r="D152" s="1602"/>
      <c r="E152" s="868">
        <f t="shared" ref="E152" si="21">E153</f>
        <v>2000000</v>
      </c>
    </row>
    <row r="153" spans="1:5" ht="45" customHeight="1" thickBot="1">
      <c r="A153" s="812"/>
      <c r="B153" s="820"/>
      <c r="C153" s="833" t="s">
        <v>827</v>
      </c>
      <c r="D153" s="834" t="s">
        <v>828</v>
      </c>
      <c r="E153" s="835">
        <v>2000000</v>
      </c>
    </row>
    <row r="154" spans="1:5" ht="17.100000000000001" customHeight="1" thickBot="1">
      <c r="A154" s="807" t="s">
        <v>446</v>
      </c>
      <c r="B154" s="869"/>
      <c r="C154" s="870"/>
      <c r="D154" s="871" t="s">
        <v>829</v>
      </c>
      <c r="E154" s="872">
        <f t="shared" ref="E154:E155" si="22">SUM(E155)</f>
        <v>600000</v>
      </c>
    </row>
    <row r="155" spans="1:5" ht="42.75" customHeight="1">
      <c r="A155" s="812"/>
      <c r="B155" s="873" t="s">
        <v>447</v>
      </c>
      <c r="C155" s="874"/>
      <c r="D155" s="875" t="s">
        <v>830</v>
      </c>
      <c r="E155" s="876">
        <f t="shared" si="22"/>
        <v>600000</v>
      </c>
    </row>
    <row r="156" spans="1:5" ht="17.100000000000001" customHeight="1">
      <c r="A156" s="812"/>
      <c r="B156" s="1607"/>
      <c r="C156" s="1606" t="s">
        <v>753</v>
      </c>
      <c r="D156" s="1606"/>
      <c r="E156" s="832">
        <f t="shared" ref="E156" si="23">E157</f>
        <v>600000</v>
      </c>
    </row>
    <row r="157" spans="1:5" ht="17.100000000000001" customHeight="1">
      <c r="A157" s="812"/>
      <c r="B157" s="1587"/>
      <c r="C157" s="1588" t="s">
        <v>813</v>
      </c>
      <c r="D157" s="1588"/>
      <c r="E157" s="828">
        <f>SUM(E158:E180)</f>
        <v>600000</v>
      </c>
    </row>
    <row r="158" spans="1:5" ht="17.100000000000001" customHeight="1">
      <c r="A158" s="812"/>
      <c r="B158" s="1587"/>
      <c r="C158" s="821" t="s">
        <v>362</v>
      </c>
      <c r="D158" s="822" t="s">
        <v>756</v>
      </c>
      <c r="E158" s="828">
        <v>325500</v>
      </c>
    </row>
    <row r="159" spans="1:5" ht="17.100000000000001" customHeight="1">
      <c r="A159" s="812"/>
      <c r="B159" s="820"/>
      <c r="C159" s="821" t="s">
        <v>363</v>
      </c>
      <c r="D159" s="822" t="s">
        <v>756</v>
      </c>
      <c r="E159" s="828">
        <v>108500</v>
      </c>
    </row>
    <row r="160" spans="1:5" ht="17.100000000000001" customHeight="1">
      <c r="A160" s="812"/>
      <c r="B160" s="820"/>
      <c r="C160" s="821" t="s">
        <v>364</v>
      </c>
      <c r="D160" s="822" t="s">
        <v>758</v>
      </c>
      <c r="E160" s="828">
        <v>24000</v>
      </c>
    </row>
    <row r="161" spans="1:5" ht="17.100000000000001" customHeight="1">
      <c r="A161" s="812"/>
      <c r="B161" s="820"/>
      <c r="C161" s="821" t="s">
        <v>365</v>
      </c>
      <c r="D161" s="822" t="s">
        <v>758</v>
      </c>
      <c r="E161" s="828">
        <v>8000</v>
      </c>
    </row>
    <row r="162" spans="1:5" ht="17.100000000000001" customHeight="1">
      <c r="A162" s="812"/>
      <c r="B162" s="820"/>
      <c r="C162" s="821" t="s">
        <v>336</v>
      </c>
      <c r="D162" s="822" t="s">
        <v>760</v>
      </c>
      <c r="E162" s="828">
        <v>60750</v>
      </c>
    </row>
    <row r="163" spans="1:5" ht="17.100000000000001" customHeight="1">
      <c r="A163" s="812"/>
      <c r="B163" s="820"/>
      <c r="C163" s="821" t="s">
        <v>337</v>
      </c>
      <c r="D163" s="822" t="s">
        <v>760</v>
      </c>
      <c r="E163" s="828">
        <v>20250</v>
      </c>
    </row>
    <row r="164" spans="1:5" ht="17.100000000000001" customHeight="1">
      <c r="A164" s="812"/>
      <c r="B164" s="820"/>
      <c r="C164" s="821" t="s">
        <v>366</v>
      </c>
      <c r="D164" s="822" t="s">
        <v>762</v>
      </c>
      <c r="E164" s="828">
        <v>8550</v>
      </c>
    </row>
    <row r="165" spans="1:5" ht="17.100000000000001" customHeight="1">
      <c r="A165" s="812"/>
      <c r="B165" s="820"/>
      <c r="C165" s="821" t="s">
        <v>367</v>
      </c>
      <c r="D165" s="822" t="s">
        <v>762</v>
      </c>
      <c r="E165" s="828">
        <v>2850</v>
      </c>
    </row>
    <row r="166" spans="1:5" ht="17.100000000000001" customHeight="1">
      <c r="A166" s="812"/>
      <c r="B166" s="820"/>
      <c r="C166" s="821" t="s">
        <v>338</v>
      </c>
      <c r="D166" s="822" t="s">
        <v>764</v>
      </c>
      <c r="E166" s="828">
        <v>450</v>
      </c>
    </row>
    <row r="167" spans="1:5" ht="17.100000000000001" customHeight="1">
      <c r="A167" s="812"/>
      <c r="B167" s="820"/>
      <c r="C167" s="821" t="s">
        <v>339</v>
      </c>
      <c r="D167" s="822" t="s">
        <v>764</v>
      </c>
      <c r="E167" s="828">
        <v>150</v>
      </c>
    </row>
    <row r="168" spans="1:5" ht="17.100000000000001" customHeight="1">
      <c r="A168" s="812"/>
      <c r="B168" s="820"/>
      <c r="C168" s="821" t="s">
        <v>341</v>
      </c>
      <c r="D168" s="822" t="s">
        <v>769</v>
      </c>
      <c r="E168" s="828">
        <v>5250</v>
      </c>
    </row>
    <row r="169" spans="1:5" ht="17.100000000000001" customHeight="1">
      <c r="A169" s="812"/>
      <c r="B169" s="820"/>
      <c r="C169" s="821" t="s">
        <v>342</v>
      </c>
      <c r="D169" s="822" t="s">
        <v>769</v>
      </c>
      <c r="E169" s="828">
        <v>1750</v>
      </c>
    </row>
    <row r="170" spans="1:5" ht="17.100000000000001" customHeight="1">
      <c r="A170" s="812"/>
      <c r="B170" s="820"/>
      <c r="C170" s="821" t="s">
        <v>440</v>
      </c>
      <c r="D170" s="822" t="s">
        <v>775</v>
      </c>
      <c r="E170" s="828">
        <v>1500</v>
      </c>
    </row>
    <row r="171" spans="1:5" ht="17.100000000000001" customHeight="1">
      <c r="A171" s="812"/>
      <c r="B171" s="820"/>
      <c r="C171" s="821" t="s">
        <v>441</v>
      </c>
      <c r="D171" s="822" t="s">
        <v>775</v>
      </c>
      <c r="E171" s="828">
        <v>500</v>
      </c>
    </row>
    <row r="172" spans="1:5" ht="17.100000000000001" customHeight="1">
      <c r="A172" s="812"/>
      <c r="B172" s="820"/>
      <c r="C172" s="821" t="s">
        <v>343</v>
      </c>
      <c r="D172" s="822" t="s">
        <v>778</v>
      </c>
      <c r="E172" s="828">
        <v>7500</v>
      </c>
    </row>
    <row r="173" spans="1:5" ht="14.25" customHeight="1">
      <c r="A173" s="812"/>
      <c r="B173" s="820"/>
      <c r="C173" s="821" t="s">
        <v>344</v>
      </c>
      <c r="D173" s="822" t="s">
        <v>778</v>
      </c>
      <c r="E173" s="828">
        <v>2500</v>
      </c>
    </row>
    <row r="174" spans="1:5" ht="15.75" customHeight="1">
      <c r="A174" s="812"/>
      <c r="B174" s="820"/>
      <c r="C174" s="821" t="s">
        <v>352</v>
      </c>
      <c r="D174" s="822" t="s">
        <v>831</v>
      </c>
      <c r="E174" s="828">
        <v>1500</v>
      </c>
    </row>
    <row r="175" spans="1:5" ht="16.5" customHeight="1">
      <c r="A175" s="812"/>
      <c r="B175" s="820"/>
      <c r="C175" s="821" t="s">
        <v>353</v>
      </c>
      <c r="D175" s="822" t="s">
        <v>831</v>
      </c>
      <c r="E175" s="828">
        <v>500</v>
      </c>
    </row>
    <row r="176" spans="1:5" ht="17.100000000000001" customHeight="1">
      <c r="A176" s="812"/>
      <c r="B176" s="820"/>
      <c r="C176" s="821" t="s">
        <v>345</v>
      </c>
      <c r="D176" s="822" t="s">
        <v>786</v>
      </c>
      <c r="E176" s="828">
        <v>9000</v>
      </c>
    </row>
    <row r="177" spans="1:5" ht="17.100000000000001" customHeight="1">
      <c r="A177" s="812"/>
      <c r="B177" s="820"/>
      <c r="C177" s="821" t="s">
        <v>346</v>
      </c>
      <c r="D177" s="822" t="s">
        <v>786</v>
      </c>
      <c r="E177" s="828">
        <v>3000</v>
      </c>
    </row>
    <row r="178" spans="1:5" ht="17.100000000000001" hidden="1" customHeight="1">
      <c r="A178" s="812"/>
      <c r="B178" s="820"/>
      <c r="C178" s="821" t="s">
        <v>799</v>
      </c>
      <c r="D178" s="822" t="s">
        <v>800</v>
      </c>
      <c r="E178" s="828">
        <v>0</v>
      </c>
    </row>
    <row r="179" spans="1:5" ht="17.100000000000001" customHeight="1">
      <c r="A179" s="812"/>
      <c r="B179" s="820"/>
      <c r="C179" s="821" t="s">
        <v>380</v>
      </c>
      <c r="D179" s="822" t="s">
        <v>800</v>
      </c>
      <c r="E179" s="828">
        <v>6000</v>
      </c>
    </row>
    <row r="180" spans="1:5" ht="17.100000000000001" customHeight="1" thickBot="1">
      <c r="A180" s="812"/>
      <c r="B180" s="820"/>
      <c r="C180" s="833" t="s">
        <v>381</v>
      </c>
      <c r="D180" s="834" t="s">
        <v>800</v>
      </c>
      <c r="E180" s="828">
        <v>2000</v>
      </c>
    </row>
    <row r="181" spans="1:5" ht="17.100000000000001" customHeight="1" thickBot="1">
      <c r="A181" s="807" t="s">
        <v>832</v>
      </c>
      <c r="B181" s="869"/>
      <c r="C181" s="870"/>
      <c r="D181" s="871" t="s">
        <v>833</v>
      </c>
      <c r="E181" s="872">
        <f>E182</f>
        <v>29390820</v>
      </c>
    </row>
    <row r="182" spans="1:5" ht="17.100000000000001" customHeight="1">
      <c r="A182" s="812"/>
      <c r="B182" s="873" t="s">
        <v>325</v>
      </c>
      <c r="C182" s="874"/>
      <c r="D182" s="875" t="s">
        <v>834</v>
      </c>
      <c r="E182" s="876">
        <f>E183+E197</f>
        <v>29390820</v>
      </c>
    </row>
    <row r="183" spans="1:5" ht="17.100000000000001" customHeight="1">
      <c r="A183" s="812"/>
      <c r="B183" s="1607"/>
      <c r="C183" s="1606" t="s">
        <v>753</v>
      </c>
      <c r="D183" s="1606"/>
      <c r="E183" s="832">
        <f>E184+E188</f>
        <v>13881008</v>
      </c>
    </row>
    <row r="184" spans="1:5" ht="17.100000000000001" customHeight="1">
      <c r="A184" s="812"/>
      <c r="B184" s="1587"/>
      <c r="C184" s="1588" t="s">
        <v>815</v>
      </c>
      <c r="D184" s="1588"/>
      <c r="E184" s="828">
        <f>SUM(E185:E186)</f>
        <v>5262008</v>
      </c>
    </row>
    <row r="185" spans="1:5" ht="51">
      <c r="A185" s="812"/>
      <c r="B185" s="1587"/>
      <c r="C185" s="821" t="s">
        <v>435</v>
      </c>
      <c r="D185" s="822" t="s">
        <v>835</v>
      </c>
      <c r="E185" s="877">
        <v>4981211</v>
      </c>
    </row>
    <row r="186" spans="1:5" ht="51">
      <c r="A186" s="812"/>
      <c r="B186" s="1587"/>
      <c r="C186" s="833" t="s">
        <v>437</v>
      </c>
      <c r="D186" s="834" t="s">
        <v>836</v>
      </c>
      <c r="E186" s="857">
        <v>280797</v>
      </c>
    </row>
    <row r="187" spans="1:5" ht="17.100000000000001" customHeight="1">
      <c r="A187" s="812"/>
      <c r="B187" s="837"/>
      <c r="C187" s="878"/>
      <c r="D187" s="879"/>
      <c r="E187" s="847"/>
    </row>
    <row r="188" spans="1:5" ht="17.100000000000001" customHeight="1">
      <c r="A188" s="812"/>
      <c r="B188" s="837"/>
      <c r="C188" s="1602" t="s">
        <v>813</v>
      </c>
      <c r="D188" s="1602"/>
      <c r="E188" s="880">
        <f>SUM(E189:E195)</f>
        <v>8619000</v>
      </c>
    </row>
    <row r="189" spans="1:5" ht="52.5" customHeight="1">
      <c r="A189" s="812"/>
      <c r="B189" s="837"/>
      <c r="C189" s="833" t="s">
        <v>390</v>
      </c>
      <c r="D189" s="827" t="s">
        <v>835</v>
      </c>
      <c r="E189" s="851">
        <v>8216400</v>
      </c>
    </row>
    <row r="190" spans="1:5" ht="17.100000000000001" customHeight="1">
      <c r="A190" s="812"/>
      <c r="B190" s="837"/>
      <c r="C190" s="863" t="s">
        <v>391</v>
      </c>
      <c r="D190" s="864" t="s">
        <v>756</v>
      </c>
      <c r="E190" s="851">
        <v>132187</v>
      </c>
    </row>
    <row r="191" spans="1:5" ht="17.100000000000001" customHeight="1">
      <c r="A191" s="812"/>
      <c r="B191" s="837"/>
      <c r="C191" s="821" t="s">
        <v>392</v>
      </c>
      <c r="D191" s="864" t="s">
        <v>760</v>
      </c>
      <c r="E191" s="851">
        <v>22974</v>
      </c>
    </row>
    <row r="192" spans="1:5" ht="17.100000000000001" customHeight="1">
      <c r="A192" s="812"/>
      <c r="B192" s="837"/>
      <c r="C192" s="821" t="s">
        <v>393</v>
      </c>
      <c r="D192" s="822" t="s">
        <v>762</v>
      </c>
      <c r="E192" s="851">
        <v>3239</v>
      </c>
    </row>
    <row r="193" spans="1:5" ht="17.100000000000001" customHeight="1">
      <c r="A193" s="812"/>
      <c r="B193" s="837"/>
      <c r="C193" s="821" t="s">
        <v>394</v>
      </c>
      <c r="D193" s="822" t="s">
        <v>778</v>
      </c>
      <c r="E193" s="851">
        <v>221000</v>
      </c>
    </row>
    <row r="194" spans="1:5" ht="17.100000000000001" customHeight="1">
      <c r="A194" s="812"/>
      <c r="B194" s="837"/>
      <c r="C194" s="821" t="s">
        <v>395</v>
      </c>
      <c r="D194" s="822" t="s">
        <v>786</v>
      </c>
      <c r="E194" s="851">
        <v>7200</v>
      </c>
    </row>
    <row r="195" spans="1:5" ht="17.100000000000001" customHeight="1">
      <c r="A195" s="812"/>
      <c r="B195" s="837"/>
      <c r="C195" s="821" t="s">
        <v>396</v>
      </c>
      <c r="D195" s="822" t="s">
        <v>800</v>
      </c>
      <c r="E195" s="851">
        <v>16000</v>
      </c>
    </row>
    <row r="196" spans="1:5" ht="17.100000000000001" customHeight="1">
      <c r="A196" s="812"/>
      <c r="B196" s="837"/>
      <c r="C196" s="1603"/>
      <c r="D196" s="1603"/>
      <c r="E196" s="881"/>
    </row>
    <row r="197" spans="1:5" ht="17.100000000000001" customHeight="1">
      <c r="A197" s="812"/>
      <c r="B197" s="837"/>
      <c r="C197" s="1593" t="s">
        <v>804</v>
      </c>
      <c r="D197" s="1593"/>
      <c r="E197" s="817">
        <f t="shared" ref="E197" si="24">E198</f>
        <v>15509812</v>
      </c>
    </row>
    <row r="198" spans="1:5" ht="17.100000000000001" customHeight="1">
      <c r="A198" s="812"/>
      <c r="B198" s="837"/>
      <c r="C198" s="1604" t="s">
        <v>805</v>
      </c>
      <c r="D198" s="1580"/>
      <c r="E198" s="828">
        <f>SUM(E199:E201)</f>
        <v>15509812</v>
      </c>
    </row>
    <row r="199" spans="1:5">
      <c r="A199" s="812"/>
      <c r="B199" s="837"/>
      <c r="C199" s="882" t="s">
        <v>397</v>
      </c>
      <c r="D199" s="822" t="s">
        <v>819</v>
      </c>
      <c r="E199" s="828">
        <v>41000</v>
      </c>
    </row>
    <row r="200" spans="1:5" ht="52.5" customHeight="1">
      <c r="A200" s="812"/>
      <c r="B200" s="837"/>
      <c r="C200" s="882" t="s">
        <v>329</v>
      </c>
      <c r="D200" s="822" t="s">
        <v>837</v>
      </c>
      <c r="E200" s="828">
        <v>12968812</v>
      </c>
    </row>
    <row r="201" spans="1:5" ht="51">
      <c r="A201" s="812"/>
      <c r="B201" s="820"/>
      <c r="C201" s="849" t="s">
        <v>326</v>
      </c>
      <c r="D201" s="883" t="s">
        <v>838</v>
      </c>
      <c r="E201" s="828">
        <v>2500000</v>
      </c>
    </row>
    <row r="202" spans="1:5" ht="17.100000000000001" hidden="1" customHeight="1">
      <c r="A202" s="812"/>
      <c r="B202" s="884"/>
      <c r="C202" s="885"/>
      <c r="D202" s="886" t="s">
        <v>839</v>
      </c>
      <c r="E202" s="887"/>
    </row>
    <row r="203" spans="1:5" ht="17.100000000000001" hidden="1" customHeight="1">
      <c r="A203" s="812"/>
      <c r="B203" s="1587"/>
      <c r="C203" s="1606" t="s">
        <v>753</v>
      </c>
      <c r="D203" s="1606"/>
      <c r="E203" s="832"/>
    </row>
    <row r="204" spans="1:5" ht="17.100000000000001" hidden="1" customHeight="1">
      <c r="A204" s="812"/>
      <c r="B204" s="1587"/>
      <c r="C204" s="1588" t="s">
        <v>815</v>
      </c>
      <c r="D204" s="1588"/>
      <c r="E204" s="828"/>
    </row>
    <row r="205" spans="1:5" ht="40.5" hidden="1" customHeight="1">
      <c r="A205" s="812"/>
      <c r="B205" s="1605"/>
      <c r="C205" s="821" t="s">
        <v>435</v>
      </c>
      <c r="D205" s="822" t="s">
        <v>840</v>
      </c>
      <c r="E205" s="828"/>
    </row>
    <row r="206" spans="1:5">
      <c r="A206" s="812"/>
      <c r="B206" s="837"/>
      <c r="C206" s="888"/>
      <c r="D206" s="866"/>
      <c r="E206" s="828"/>
    </row>
    <row r="207" spans="1:5" ht="15">
      <c r="A207" s="812"/>
      <c r="B207" s="837"/>
      <c r="C207" s="1578" t="s">
        <v>811</v>
      </c>
      <c r="D207" s="1596"/>
      <c r="E207" s="828">
        <f>SUM(E208:E208)</f>
        <v>41000</v>
      </c>
    </row>
    <row r="208" spans="1:5" ht="13.5" thickBot="1">
      <c r="A208" s="812"/>
      <c r="B208" s="837"/>
      <c r="C208" s="882" t="s">
        <v>397</v>
      </c>
      <c r="D208" s="822" t="s">
        <v>819</v>
      </c>
      <c r="E208" s="857">
        <v>41000</v>
      </c>
    </row>
    <row r="209" spans="1:5" ht="17.100000000000001" customHeight="1" thickBot="1">
      <c r="A209" s="807" t="s">
        <v>841</v>
      </c>
      <c r="B209" s="869"/>
      <c r="C209" s="870"/>
      <c r="D209" s="871" t="s">
        <v>842</v>
      </c>
      <c r="E209" s="872">
        <f t="shared" ref="E209:E211" si="25">E210</f>
        <v>242532</v>
      </c>
    </row>
    <row r="210" spans="1:5" ht="17.100000000000001" customHeight="1">
      <c r="A210" s="812"/>
      <c r="B210" s="873" t="s">
        <v>843</v>
      </c>
      <c r="C210" s="874"/>
      <c r="D210" s="875" t="s">
        <v>844</v>
      </c>
      <c r="E210" s="876">
        <f t="shared" si="25"/>
        <v>242532</v>
      </c>
    </row>
    <row r="211" spans="1:5" ht="17.100000000000001" customHeight="1">
      <c r="A211" s="812"/>
      <c r="B211" s="1607"/>
      <c r="C211" s="1606" t="s">
        <v>753</v>
      </c>
      <c r="D211" s="1606"/>
      <c r="E211" s="832">
        <f t="shared" si="25"/>
        <v>242532</v>
      </c>
    </row>
    <row r="212" spans="1:5" ht="17.100000000000001" customHeight="1">
      <c r="A212" s="812"/>
      <c r="B212" s="1587"/>
      <c r="C212" s="1610" t="s">
        <v>754</v>
      </c>
      <c r="D212" s="1611"/>
      <c r="E212" s="828">
        <f>E213+E219</f>
        <v>242532</v>
      </c>
    </row>
    <row r="213" spans="1:5" ht="17.100000000000001" customHeight="1">
      <c r="A213" s="812"/>
      <c r="B213" s="1587"/>
      <c r="C213" s="1598" t="s">
        <v>755</v>
      </c>
      <c r="D213" s="1599"/>
      <c r="E213" s="841">
        <f>SUM(E214:E217)</f>
        <v>238032</v>
      </c>
    </row>
    <row r="214" spans="1:5" ht="17.100000000000001" customHeight="1">
      <c r="A214" s="812"/>
      <c r="B214" s="1587"/>
      <c r="C214" s="863" t="s">
        <v>538</v>
      </c>
      <c r="D214" s="864" t="s">
        <v>756</v>
      </c>
      <c r="E214" s="828">
        <v>181013</v>
      </c>
    </row>
    <row r="215" spans="1:5" ht="17.100000000000001" customHeight="1">
      <c r="A215" s="812"/>
      <c r="B215" s="1587"/>
      <c r="C215" s="863" t="s">
        <v>757</v>
      </c>
      <c r="D215" s="822" t="s">
        <v>758</v>
      </c>
      <c r="E215" s="828">
        <v>14380</v>
      </c>
    </row>
    <row r="216" spans="1:5" ht="17.100000000000001" customHeight="1">
      <c r="A216" s="812"/>
      <c r="B216" s="1587"/>
      <c r="C216" s="863" t="s">
        <v>759</v>
      </c>
      <c r="D216" s="864" t="s">
        <v>760</v>
      </c>
      <c r="E216" s="828">
        <v>37210</v>
      </c>
    </row>
    <row r="217" spans="1:5" ht="14.25" customHeight="1">
      <c r="A217" s="812"/>
      <c r="B217" s="1587"/>
      <c r="C217" s="863" t="s">
        <v>761</v>
      </c>
      <c r="D217" s="822" t="s">
        <v>762</v>
      </c>
      <c r="E217" s="828">
        <v>5429</v>
      </c>
    </row>
    <row r="218" spans="1:5" ht="14.25" customHeight="1">
      <c r="A218" s="812"/>
      <c r="B218" s="837"/>
      <c r="C218" s="863"/>
      <c r="D218" s="864"/>
      <c r="E218" s="828"/>
    </row>
    <row r="219" spans="1:5" ht="14.25" customHeight="1">
      <c r="A219" s="812"/>
      <c r="B219" s="837"/>
      <c r="C219" s="1578" t="s">
        <v>765</v>
      </c>
      <c r="D219" s="1578"/>
      <c r="E219" s="841">
        <f>SUM(E220:E220)</f>
        <v>4500</v>
      </c>
    </row>
    <row r="220" spans="1:5" ht="13.5" thickBot="1">
      <c r="A220" s="889"/>
      <c r="B220" s="890"/>
      <c r="C220" s="821" t="s">
        <v>517</v>
      </c>
      <c r="D220" s="822" t="s">
        <v>778</v>
      </c>
      <c r="E220" s="828">
        <v>4500</v>
      </c>
    </row>
    <row r="221" spans="1:5" ht="17.100000000000001" customHeight="1" thickBot="1">
      <c r="A221" s="807" t="s">
        <v>7</v>
      </c>
      <c r="B221" s="869"/>
      <c r="C221" s="870"/>
      <c r="D221" s="871" t="s">
        <v>845</v>
      </c>
      <c r="E221" s="872">
        <f>SUM(E222,E243,E260,E264,E269,E322,E326)</f>
        <v>908040055</v>
      </c>
    </row>
    <row r="222" spans="1:5" ht="17.100000000000001" customHeight="1" thickBot="1">
      <c r="A222" s="812"/>
      <c r="B222" s="858" t="s">
        <v>119</v>
      </c>
      <c r="C222" s="859"/>
      <c r="D222" s="860" t="s">
        <v>187</v>
      </c>
      <c r="E222" s="861">
        <f>E223+E233</f>
        <v>178235787</v>
      </c>
    </row>
    <row r="223" spans="1:5" ht="17.100000000000001" customHeight="1">
      <c r="A223" s="812"/>
      <c r="B223" s="1608"/>
      <c r="C223" s="1583" t="s">
        <v>753</v>
      </c>
      <c r="D223" s="1583"/>
      <c r="E223" s="817">
        <f>E224+E229</f>
        <v>62885693</v>
      </c>
    </row>
    <row r="224" spans="1:5" ht="17.100000000000001" customHeight="1">
      <c r="A224" s="812"/>
      <c r="B224" s="1608"/>
      <c r="C224" s="1588" t="s">
        <v>754</v>
      </c>
      <c r="D224" s="1588"/>
      <c r="E224" s="828">
        <f>E225</f>
        <v>190942</v>
      </c>
    </row>
    <row r="225" spans="1:5" ht="17.100000000000001" customHeight="1">
      <c r="A225" s="812"/>
      <c r="B225" s="1608"/>
      <c r="C225" s="1578" t="s">
        <v>765</v>
      </c>
      <c r="D225" s="1578"/>
      <c r="E225" s="841">
        <f>SUM(E226:E227)</f>
        <v>190942</v>
      </c>
    </row>
    <row r="226" spans="1:5" ht="17.100000000000001" customHeight="1">
      <c r="A226" s="812"/>
      <c r="B226" s="1608"/>
      <c r="C226" s="821" t="s">
        <v>774</v>
      </c>
      <c r="D226" s="822" t="s">
        <v>775</v>
      </c>
      <c r="E226" s="828">
        <v>170342</v>
      </c>
    </row>
    <row r="227" spans="1:5" ht="17.100000000000001" customHeight="1">
      <c r="A227" s="812"/>
      <c r="B227" s="1608"/>
      <c r="C227" s="821" t="s">
        <v>781</v>
      </c>
      <c r="D227" s="822" t="s">
        <v>782</v>
      </c>
      <c r="E227" s="828">
        <v>20600</v>
      </c>
    </row>
    <row r="228" spans="1:5" ht="17.100000000000001" customHeight="1">
      <c r="A228" s="812"/>
      <c r="B228" s="1608"/>
      <c r="C228" s="838"/>
      <c r="D228" s="838"/>
      <c r="E228" s="825"/>
    </row>
    <row r="229" spans="1:5" ht="17.100000000000001" customHeight="1">
      <c r="A229" s="812"/>
      <c r="B229" s="1608"/>
      <c r="C229" s="1588" t="s">
        <v>815</v>
      </c>
      <c r="D229" s="1588"/>
      <c r="E229" s="828">
        <f>E230+E231</f>
        <v>62694751</v>
      </c>
    </row>
    <row r="230" spans="1:5" ht="29.25" customHeight="1">
      <c r="A230" s="812"/>
      <c r="B230" s="1608"/>
      <c r="C230" s="891" t="s">
        <v>846</v>
      </c>
      <c r="D230" s="892" t="s">
        <v>847</v>
      </c>
      <c r="E230" s="823">
        <v>120000</v>
      </c>
    </row>
    <row r="231" spans="1:5" ht="29.25" customHeight="1">
      <c r="A231" s="812"/>
      <c r="B231" s="1608"/>
      <c r="C231" s="821" t="s">
        <v>848</v>
      </c>
      <c r="D231" s="822" t="s">
        <v>849</v>
      </c>
      <c r="E231" s="828">
        <v>62574751</v>
      </c>
    </row>
    <row r="232" spans="1:5" ht="17.100000000000001" customHeight="1">
      <c r="A232" s="812"/>
      <c r="B232" s="1608"/>
      <c r="C232" s="838"/>
      <c r="D232" s="838"/>
      <c r="E232" s="825"/>
    </row>
    <row r="233" spans="1:5" ht="17.100000000000001" customHeight="1">
      <c r="A233" s="812"/>
      <c r="B233" s="1608"/>
      <c r="C233" s="1595" t="s">
        <v>804</v>
      </c>
      <c r="D233" s="1595"/>
      <c r="E233" s="832">
        <f>E234</f>
        <v>115350094</v>
      </c>
    </row>
    <row r="234" spans="1:5" ht="17.100000000000001" customHeight="1">
      <c r="A234" s="812"/>
      <c r="B234" s="1608"/>
      <c r="C234" s="1580" t="s">
        <v>805</v>
      </c>
      <c r="D234" s="1580"/>
      <c r="E234" s="828">
        <f>SUM(E235:E237)</f>
        <v>115350094</v>
      </c>
    </row>
    <row r="235" spans="1:5" ht="17.100000000000001" customHeight="1">
      <c r="A235" s="812"/>
      <c r="B235" s="1608"/>
      <c r="C235" s="821" t="s">
        <v>401</v>
      </c>
      <c r="D235" s="822" t="s">
        <v>819</v>
      </c>
      <c r="E235" s="828">
        <v>29050094</v>
      </c>
    </row>
    <row r="236" spans="1:5">
      <c r="A236" s="812"/>
      <c r="B236" s="1608"/>
      <c r="C236" s="821" t="s">
        <v>397</v>
      </c>
      <c r="D236" s="822" t="s">
        <v>819</v>
      </c>
      <c r="E236" s="828">
        <v>73355000</v>
      </c>
    </row>
    <row r="237" spans="1:5">
      <c r="A237" s="812"/>
      <c r="B237" s="1608"/>
      <c r="C237" s="821" t="s">
        <v>850</v>
      </c>
      <c r="D237" s="822" t="s">
        <v>819</v>
      </c>
      <c r="E237" s="828">
        <v>12945000</v>
      </c>
    </row>
    <row r="238" spans="1:5" ht="15">
      <c r="A238" s="812"/>
      <c r="B238" s="1608"/>
      <c r="C238" s="838"/>
      <c r="D238" s="842"/>
      <c r="E238" s="843"/>
    </row>
    <row r="239" spans="1:5" ht="15">
      <c r="A239" s="812"/>
      <c r="B239" s="1608"/>
      <c r="C239" s="1578" t="s">
        <v>811</v>
      </c>
      <c r="D239" s="1596"/>
      <c r="E239" s="828">
        <f t="shared" ref="E239" si="26">SUM(E240:E242)</f>
        <v>106149000</v>
      </c>
    </row>
    <row r="240" spans="1:5">
      <c r="A240" s="812"/>
      <c r="B240" s="1608"/>
      <c r="C240" s="821" t="s">
        <v>401</v>
      </c>
      <c r="D240" s="822" t="s">
        <v>819</v>
      </c>
      <c r="E240" s="828">
        <v>19849000</v>
      </c>
    </row>
    <row r="241" spans="1:5">
      <c r="A241" s="812"/>
      <c r="B241" s="1609"/>
      <c r="C241" s="821" t="s">
        <v>397</v>
      </c>
      <c r="D241" s="822" t="s">
        <v>819</v>
      </c>
      <c r="E241" s="828">
        <v>73355000</v>
      </c>
    </row>
    <row r="242" spans="1:5" ht="13.5" thickBot="1">
      <c r="A242" s="812"/>
      <c r="B242" s="1609"/>
      <c r="C242" s="833" t="s">
        <v>850</v>
      </c>
      <c r="D242" s="834" t="s">
        <v>819</v>
      </c>
      <c r="E242" s="857">
        <v>12945000</v>
      </c>
    </row>
    <row r="243" spans="1:5" ht="17.100000000000001" customHeight="1" thickBot="1">
      <c r="A243" s="812"/>
      <c r="B243" s="858" t="s">
        <v>450</v>
      </c>
      <c r="C243" s="859"/>
      <c r="D243" s="860" t="s">
        <v>614</v>
      </c>
      <c r="E243" s="861">
        <f>E244</f>
        <v>15390424</v>
      </c>
    </row>
    <row r="244" spans="1:5" ht="17.100000000000001" customHeight="1">
      <c r="A244" s="812"/>
      <c r="B244" s="893"/>
      <c r="C244" s="1593" t="s">
        <v>804</v>
      </c>
      <c r="D244" s="1593"/>
      <c r="E244" s="817">
        <f>E245</f>
        <v>15390424</v>
      </c>
    </row>
    <row r="245" spans="1:5" ht="17.100000000000001" customHeight="1">
      <c r="A245" s="812"/>
      <c r="B245" s="893"/>
      <c r="C245" s="1580" t="s">
        <v>805</v>
      </c>
      <c r="D245" s="1580"/>
      <c r="E245" s="828">
        <f>SUM(E246:E251)</f>
        <v>15390424</v>
      </c>
    </row>
    <row r="246" spans="1:5" ht="17.100000000000001" customHeight="1">
      <c r="A246" s="812"/>
      <c r="B246" s="893"/>
      <c r="C246" s="865" t="s">
        <v>405</v>
      </c>
      <c r="D246" s="866" t="s">
        <v>806</v>
      </c>
      <c r="E246" s="828">
        <v>2485201</v>
      </c>
    </row>
    <row r="247" spans="1:5" ht="17.100000000000001" customHeight="1">
      <c r="A247" s="812"/>
      <c r="B247" s="893"/>
      <c r="C247" s="865" t="s">
        <v>406</v>
      </c>
      <c r="D247" s="866" t="s">
        <v>806</v>
      </c>
      <c r="E247" s="828">
        <v>5402610</v>
      </c>
    </row>
    <row r="248" spans="1:5" ht="17.100000000000001" customHeight="1">
      <c r="A248" s="812"/>
      <c r="B248" s="893"/>
      <c r="C248" s="865" t="s">
        <v>451</v>
      </c>
      <c r="D248" s="866" t="s">
        <v>806</v>
      </c>
      <c r="E248" s="828">
        <v>5402610</v>
      </c>
    </row>
    <row r="249" spans="1:5" ht="17.100000000000001" customHeight="1">
      <c r="A249" s="812"/>
      <c r="B249" s="893"/>
      <c r="C249" s="821" t="s">
        <v>401</v>
      </c>
      <c r="D249" s="822" t="s">
        <v>819</v>
      </c>
      <c r="E249" s="828">
        <v>392683</v>
      </c>
    </row>
    <row r="250" spans="1:5" ht="17.100000000000001" customHeight="1">
      <c r="A250" s="812"/>
      <c r="B250" s="893"/>
      <c r="C250" s="821" t="s">
        <v>397</v>
      </c>
      <c r="D250" s="822" t="s">
        <v>819</v>
      </c>
      <c r="E250" s="828">
        <v>853660</v>
      </c>
    </row>
    <row r="251" spans="1:5" ht="17.100000000000001" customHeight="1">
      <c r="A251" s="812"/>
      <c r="B251" s="893"/>
      <c r="C251" s="821" t="s">
        <v>850</v>
      </c>
      <c r="D251" s="822" t="s">
        <v>819</v>
      </c>
      <c r="E251" s="828">
        <v>853660</v>
      </c>
    </row>
    <row r="252" spans="1:5" ht="17.100000000000001" customHeight="1">
      <c r="A252" s="812"/>
      <c r="B252" s="893"/>
      <c r="C252" s="838"/>
      <c r="D252" s="842"/>
      <c r="E252" s="843"/>
    </row>
    <row r="253" spans="1:5" ht="17.100000000000001" customHeight="1">
      <c r="A253" s="812"/>
      <c r="B253" s="893"/>
      <c r="C253" s="1578" t="s">
        <v>811</v>
      </c>
      <c r="D253" s="1596"/>
      <c r="E253" s="828">
        <f>SUM(E254:E259)</f>
        <v>15390424</v>
      </c>
    </row>
    <row r="254" spans="1:5" ht="17.100000000000001" customHeight="1">
      <c r="A254" s="812"/>
      <c r="B254" s="893"/>
      <c r="C254" s="865" t="s">
        <v>405</v>
      </c>
      <c r="D254" s="866" t="s">
        <v>806</v>
      </c>
      <c r="E254" s="828">
        <v>2485201</v>
      </c>
    </row>
    <row r="255" spans="1:5" ht="17.100000000000001" customHeight="1">
      <c r="A255" s="812"/>
      <c r="B255" s="893"/>
      <c r="C255" s="865" t="s">
        <v>406</v>
      </c>
      <c r="D255" s="866" t="s">
        <v>806</v>
      </c>
      <c r="E255" s="828">
        <v>5402610</v>
      </c>
    </row>
    <row r="256" spans="1:5" ht="17.100000000000001" customHeight="1">
      <c r="A256" s="812"/>
      <c r="B256" s="893"/>
      <c r="C256" s="865" t="s">
        <v>451</v>
      </c>
      <c r="D256" s="866" t="s">
        <v>806</v>
      </c>
      <c r="E256" s="828">
        <v>5402610</v>
      </c>
    </row>
    <row r="257" spans="1:5" ht="17.100000000000001" customHeight="1">
      <c r="A257" s="812"/>
      <c r="B257" s="893"/>
      <c r="C257" s="821" t="s">
        <v>401</v>
      </c>
      <c r="D257" s="822" t="s">
        <v>819</v>
      </c>
      <c r="E257" s="828">
        <v>392683</v>
      </c>
    </row>
    <row r="258" spans="1:5" ht="16.5" customHeight="1">
      <c r="A258" s="812"/>
      <c r="B258" s="893"/>
      <c r="C258" s="821" t="s">
        <v>397</v>
      </c>
      <c r="D258" s="822" t="s">
        <v>819</v>
      </c>
      <c r="E258" s="828">
        <v>853660</v>
      </c>
    </row>
    <row r="259" spans="1:5" ht="15.75" customHeight="1" thickBot="1">
      <c r="A259" s="812"/>
      <c r="B259" s="893"/>
      <c r="C259" s="833" t="s">
        <v>850</v>
      </c>
      <c r="D259" s="834" t="s">
        <v>819</v>
      </c>
      <c r="E259" s="857">
        <v>853660</v>
      </c>
    </row>
    <row r="260" spans="1:5" ht="17.100000000000001" customHeight="1" thickBot="1">
      <c r="A260" s="812"/>
      <c r="B260" s="858" t="s">
        <v>8</v>
      </c>
      <c r="C260" s="859"/>
      <c r="D260" s="860" t="s">
        <v>221</v>
      </c>
      <c r="E260" s="894">
        <f t="shared" ref="E260:E262" si="27">E261</f>
        <v>57000000</v>
      </c>
    </row>
    <row r="261" spans="1:5" ht="17.100000000000001" customHeight="1">
      <c r="A261" s="812"/>
      <c r="B261" s="1587"/>
      <c r="C261" s="1612" t="s">
        <v>753</v>
      </c>
      <c r="D261" s="1583"/>
      <c r="E261" s="817">
        <f t="shared" si="27"/>
        <v>57000000</v>
      </c>
    </row>
    <row r="262" spans="1:5" ht="17.100000000000001" customHeight="1">
      <c r="A262" s="812"/>
      <c r="B262" s="1587"/>
      <c r="C262" s="1588" t="s">
        <v>815</v>
      </c>
      <c r="D262" s="1588"/>
      <c r="E262" s="895">
        <f t="shared" si="27"/>
        <v>57000000</v>
      </c>
    </row>
    <row r="263" spans="1:5" ht="26.25" thickBot="1">
      <c r="A263" s="812"/>
      <c r="B263" s="1587"/>
      <c r="C263" s="833" t="s">
        <v>9</v>
      </c>
      <c r="D263" s="834" t="s">
        <v>851</v>
      </c>
      <c r="E263" s="831">
        <v>57000000</v>
      </c>
    </row>
    <row r="264" spans="1:5" ht="17.100000000000001" customHeight="1" thickBot="1">
      <c r="A264" s="812"/>
      <c r="B264" s="858" t="s">
        <v>852</v>
      </c>
      <c r="C264" s="859"/>
      <c r="D264" s="860" t="s">
        <v>617</v>
      </c>
      <c r="E264" s="861">
        <f t="shared" ref="E264:E267" si="28">E265</f>
        <v>600000</v>
      </c>
    </row>
    <row r="265" spans="1:5" ht="17.100000000000001" customHeight="1">
      <c r="A265" s="812"/>
      <c r="B265" s="1587"/>
      <c r="C265" s="1583" t="s">
        <v>753</v>
      </c>
      <c r="D265" s="1583"/>
      <c r="E265" s="817">
        <f t="shared" si="28"/>
        <v>600000</v>
      </c>
    </row>
    <row r="266" spans="1:5" ht="17.100000000000001" customHeight="1">
      <c r="A266" s="812"/>
      <c r="B266" s="1587"/>
      <c r="C266" s="1588" t="s">
        <v>754</v>
      </c>
      <c r="D266" s="1588"/>
      <c r="E266" s="828">
        <f t="shared" si="28"/>
        <v>600000</v>
      </c>
    </row>
    <row r="267" spans="1:5" ht="17.100000000000001" customHeight="1">
      <c r="A267" s="812"/>
      <c r="B267" s="1587"/>
      <c r="C267" s="1578" t="s">
        <v>765</v>
      </c>
      <c r="D267" s="1578"/>
      <c r="E267" s="841">
        <f t="shared" si="28"/>
        <v>600000</v>
      </c>
    </row>
    <row r="268" spans="1:5" ht="17.100000000000001" customHeight="1" thickBot="1">
      <c r="A268" s="812"/>
      <c r="B268" s="1587"/>
      <c r="C268" s="833" t="s">
        <v>781</v>
      </c>
      <c r="D268" s="834" t="s">
        <v>782</v>
      </c>
      <c r="E268" s="857">
        <v>600000</v>
      </c>
    </row>
    <row r="269" spans="1:5" ht="17.100000000000001" customHeight="1" thickBot="1">
      <c r="A269" s="812"/>
      <c r="B269" s="858" t="s">
        <v>482</v>
      </c>
      <c r="C269" s="859"/>
      <c r="D269" s="860" t="s">
        <v>620</v>
      </c>
      <c r="E269" s="861">
        <f>E270+E304</f>
        <v>653296101</v>
      </c>
    </row>
    <row r="270" spans="1:5" ht="17.100000000000001" customHeight="1">
      <c r="A270" s="812"/>
      <c r="B270" s="820"/>
      <c r="C270" s="1583" t="s">
        <v>753</v>
      </c>
      <c r="D270" s="1583"/>
      <c r="E270" s="817">
        <f>E271+E301</f>
        <v>61033389</v>
      </c>
    </row>
    <row r="271" spans="1:5" ht="17.100000000000001" customHeight="1">
      <c r="A271" s="812"/>
      <c r="B271" s="820"/>
      <c r="C271" s="1588" t="s">
        <v>754</v>
      </c>
      <c r="D271" s="1588"/>
      <c r="E271" s="828">
        <f t="shared" ref="E271" si="29">E272+E279</f>
        <v>60792139</v>
      </c>
    </row>
    <row r="272" spans="1:5" ht="17.100000000000001" customHeight="1">
      <c r="A272" s="812"/>
      <c r="B272" s="820"/>
      <c r="C272" s="1589" t="s">
        <v>755</v>
      </c>
      <c r="D272" s="1589"/>
      <c r="E272" s="841">
        <f t="shared" ref="E272" si="30">SUM(E273:E277)</f>
        <v>17753396</v>
      </c>
    </row>
    <row r="273" spans="1:5" ht="17.100000000000001" customHeight="1">
      <c r="A273" s="812"/>
      <c r="B273" s="820"/>
      <c r="C273" s="821" t="s">
        <v>538</v>
      </c>
      <c r="D273" s="822" t="s">
        <v>756</v>
      </c>
      <c r="E273" s="828">
        <v>14026762</v>
      </c>
    </row>
    <row r="274" spans="1:5" ht="17.100000000000001" customHeight="1">
      <c r="A274" s="812"/>
      <c r="B274" s="820"/>
      <c r="C274" s="821" t="s">
        <v>757</v>
      </c>
      <c r="D274" s="822" t="s">
        <v>758</v>
      </c>
      <c r="E274" s="828">
        <v>896356</v>
      </c>
    </row>
    <row r="275" spans="1:5" ht="17.100000000000001" customHeight="1">
      <c r="A275" s="812"/>
      <c r="B275" s="820"/>
      <c r="C275" s="821" t="s">
        <v>759</v>
      </c>
      <c r="D275" s="822" t="s">
        <v>760</v>
      </c>
      <c r="E275" s="828">
        <v>2464249</v>
      </c>
    </row>
    <row r="276" spans="1:5" ht="17.100000000000001" customHeight="1">
      <c r="A276" s="812"/>
      <c r="B276" s="820"/>
      <c r="C276" s="821" t="s">
        <v>761</v>
      </c>
      <c r="D276" s="822" t="s">
        <v>762</v>
      </c>
      <c r="E276" s="828">
        <v>343426</v>
      </c>
    </row>
    <row r="277" spans="1:5" ht="17.100000000000001" customHeight="1">
      <c r="A277" s="812"/>
      <c r="B277" s="820"/>
      <c r="C277" s="821" t="s">
        <v>763</v>
      </c>
      <c r="D277" s="822" t="s">
        <v>764</v>
      </c>
      <c r="E277" s="828">
        <v>22603</v>
      </c>
    </row>
    <row r="278" spans="1:5" ht="17.100000000000001" customHeight="1">
      <c r="A278" s="812"/>
      <c r="B278" s="820"/>
      <c r="C278" s="896"/>
      <c r="D278" s="897"/>
      <c r="E278" s="898"/>
    </row>
    <row r="279" spans="1:5" ht="17.100000000000001" customHeight="1">
      <c r="A279" s="812"/>
      <c r="B279" s="820"/>
      <c r="C279" s="1614" t="s">
        <v>765</v>
      </c>
      <c r="D279" s="1614"/>
      <c r="E279" s="899">
        <f>SUM(E280:E299)</f>
        <v>43038743</v>
      </c>
    </row>
    <row r="280" spans="1:5" ht="17.100000000000001" customHeight="1">
      <c r="A280" s="812"/>
      <c r="B280" s="820"/>
      <c r="C280" s="821" t="s">
        <v>766</v>
      </c>
      <c r="D280" s="822" t="s">
        <v>767</v>
      </c>
      <c r="E280" s="828">
        <v>226966</v>
      </c>
    </row>
    <row r="281" spans="1:5" ht="17.100000000000001" customHeight="1">
      <c r="A281" s="812"/>
      <c r="B281" s="820"/>
      <c r="C281" s="821" t="s">
        <v>768</v>
      </c>
      <c r="D281" s="822" t="s">
        <v>769</v>
      </c>
      <c r="E281" s="828">
        <v>6868400</v>
      </c>
    </row>
    <row r="282" spans="1:5" ht="17.100000000000001" customHeight="1">
      <c r="A282" s="812"/>
      <c r="B282" s="820"/>
      <c r="C282" s="821" t="s">
        <v>770</v>
      </c>
      <c r="D282" s="822" t="s">
        <v>771</v>
      </c>
      <c r="E282" s="828">
        <v>23000</v>
      </c>
    </row>
    <row r="283" spans="1:5" ht="17.100000000000001" customHeight="1">
      <c r="A283" s="812"/>
      <c r="B283" s="820"/>
      <c r="C283" s="821" t="s">
        <v>772</v>
      </c>
      <c r="D283" s="822" t="s">
        <v>773</v>
      </c>
      <c r="E283" s="828">
        <v>660000</v>
      </c>
    </row>
    <row r="284" spans="1:5" ht="17.100000000000001" customHeight="1">
      <c r="A284" s="812"/>
      <c r="B284" s="820"/>
      <c r="C284" s="821" t="s">
        <v>774</v>
      </c>
      <c r="D284" s="822" t="s">
        <v>775</v>
      </c>
      <c r="E284" s="828">
        <v>19054100</v>
      </c>
    </row>
    <row r="285" spans="1:5" ht="17.100000000000001" customHeight="1">
      <c r="A285" s="812"/>
      <c r="B285" s="820"/>
      <c r="C285" s="821" t="s">
        <v>776</v>
      </c>
      <c r="D285" s="822" t="s">
        <v>777</v>
      </c>
      <c r="E285" s="828">
        <v>41000</v>
      </c>
    </row>
    <row r="286" spans="1:5" ht="17.100000000000001" customHeight="1">
      <c r="A286" s="812"/>
      <c r="B286" s="820"/>
      <c r="C286" s="821" t="s">
        <v>517</v>
      </c>
      <c r="D286" s="822" t="s">
        <v>778</v>
      </c>
      <c r="E286" s="828">
        <f>20000+13844919</f>
        <v>13864919</v>
      </c>
    </row>
    <row r="287" spans="1:5" ht="16.5" customHeight="1">
      <c r="A287" s="812"/>
      <c r="B287" s="820"/>
      <c r="C287" s="821" t="s">
        <v>779</v>
      </c>
      <c r="D287" s="822" t="s">
        <v>780</v>
      </c>
      <c r="E287" s="828">
        <v>75000</v>
      </c>
    </row>
    <row r="288" spans="1:5" ht="17.100000000000001" customHeight="1">
      <c r="A288" s="812"/>
      <c r="B288" s="820"/>
      <c r="C288" s="821" t="s">
        <v>781</v>
      </c>
      <c r="D288" s="822" t="s">
        <v>782</v>
      </c>
      <c r="E288" s="828">
        <v>707000</v>
      </c>
    </row>
    <row r="289" spans="1:5" ht="17.100000000000001" customHeight="1">
      <c r="A289" s="812"/>
      <c r="B289" s="820"/>
      <c r="C289" s="821" t="s">
        <v>785</v>
      </c>
      <c r="D289" s="822" t="s">
        <v>786</v>
      </c>
      <c r="E289" s="828">
        <v>20000</v>
      </c>
    </row>
    <row r="290" spans="1:5" ht="17.100000000000001" hidden="1" customHeight="1">
      <c r="A290" s="812"/>
      <c r="B290" s="820"/>
      <c r="C290" s="821" t="s">
        <v>853</v>
      </c>
      <c r="D290" s="822" t="s">
        <v>786</v>
      </c>
      <c r="E290" s="828">
        <v>0</v>
      </c>
    </row>
    <row r="291" spans="1:5" ht="17.100000000000001" customHeight="1">
      <c r="A291" s="812"/>
      <c r="B291" s="820"/>
      <c r="C291" s="821" t="s">
        <v>853</v>
      </c>
      <c r="D291" s="822" t="s">
        <v>854</v>
      </c>
      <c r="E291" s="828">
        <v>30000</v>
      </c>
    </row>
    <row r="292" spans="1:5" ht="17.100000000000001" customHeight="1">
      <c r="A292" s="812"/>
      <c r="B292" s="820"/>
      <c r="C292" s="821" t="s">
        <v>787</v>
      </c>
      <c r="D292" s="822" t="s">
        <v>788</v>
      </c>
      <c r="E292" s="828">
        <v>680000</v>
      </c>
    </row>
    <row r="293" spans="1:5" ht="17.100000000000001" customHeight="1">
      <c r="A293" s="812"/>
      <c r="B293" s="820"/>
      <c r="C293" s="821" t="s">
        <v>789</v>
      </c>
      <c r="D293" s="822" t="s">
        <v>790</v>
      </c>
      <c r="E293" s="828">
        <v>285258</v>
      </c>
    </row>
    <row r="294" spans="1:5" ht="17.100000000000001" customHeight="1">
      <c r="A294" s="812"/>
      <c r="B294" s="820"/>
      <c r="C294" s="821" t="s">
        <v>791</v>
      </c>
      <c r="D294" s="822" t="s">
        <v>792</v>
      </c>
      <c r="E294" s="828">
        <v>126000</v>
      </c>
    </row>
    <row r="295" spans="1:5" ht="17.100000000000001" customHeight="1">
      <c r="A295" s="812"/>
      <c r="B295" s="820"/>
      <c r="C295" s="821" t="s">
        <v>809</v>
      </c>
      <c r="D295" s="822" t="s">
        <v>810</v>
      </c>
      <c r="E295" s="828">
        <v>21000</v>
      </c>
    </row>
    <row r="296" spans="1:5" ht="17.100000000000001" customHeight="1">
      <c r="A296" s="812"/>
      <c r="B296" s="820"/>
      <c r="C296" s="821" t="s">
        <v>795</v>
      </c>
      <c r="D296" s="822" t="s">
        <v>796</v>
      </c>
      <c r="E296" s="828">
        <v>156100</v>
      </c>
    </row>
    <row r="297" spans="1:5" ht="17.100000000000001" customHeight="1">
      <c r="A297" s="812"/>
      <c r="B297" s="820"/>
      <c r="C297" s="821" t="s">
        <v>855</v>
      </c>
      <c r="D297" s="822" t="s">
        <v>856</v>
      </c>
      <c r="E297" s="828">
        <v>50000</v>
      </c>
    </row>
    <row r="298" spans="1:5" ht="17.100000000000001" customHeight="1">
      <c r="A298" s="812"/>
      <c r="B298" s="820"/>
      <c r="C298" s="821" t="s">
        <v>825</v>
      </c>
      <c r="D298" s="822" t="s">
        <v>826</v>
      </c>
      <c r="E298" s="828">
        <v>50000</v>
      </c>
    </row>
    <row r="299" spans="1:5" ht="17.100000000000001" customHeight="1">
      <c r="A299" s="812"/>
      <c r="B299" s="820"/>
      <c r="C299" s="821" t="s">
        <v>799</v>
      </c>
      <c r="D299" s="822" t="s">
        <v>800</v>
      </c>
      <c r="E299" s="828">
        <v>100000</v>
      </c>
    </row>
    <row r="300" spans="1:5" ht="17.100000000000001" customHeight="1">
      <c r="A300" s="812"/>
      <c r="B300" s="820"/>
      <c r="C300" s="838"/>
      <c r="D300" s="838"/>
      <c r="E300" s="825"/>
    </row>
    <row r="301" spans="1:5" ht="17.100000000000001" customHeight="1">
      <c r="A301" s="812"/>
      <c r="B301" s="820"/>
      <c r="C301" s="1580" t="s">
        <v>801</v>
      </c>
      <c r="D301" s="1580"/>
      <c r="E301" s="828">
        <f t="shared" ref="E301" si="31">E302</f>
        <v>241250</v>
      </c>
    </row>
    <row r="302" spans="1:5" ht="17.100000000000001" customHeight="1">
      <c r="A302" s="812"/>
      <c r="B302" s="820"/>
      <c r="C302" s="833" t="s">
        <v>802</v>
      </c>
      <c r="D302" s="834" t="s">
        <v>803</v>
      </c>
      <c r="E302" s="857">
        <v>241250</v>
      </c>
    </row>
    <row r="303" spans="1:5" ht="17.100000000000001" customHeight="1">
      <c r="A303" s="812"/>
      <c r="B303" s="820"/>
      <c r="C303" s="878"/>
      <c r="D303" s="879"/>
      <c r="E303" s="847"/>
    </row>
    <row r="304" spans="1:5" ht="17.100000000000001" customHeight="1">
      <c r="A304" s="812"/>
      <c r="B304" s="820"/>
      <c r="C304" s="1593" t="s">
        <v>804</v>
      </c>
      <c r="D304" s="1593"/>
      <c r="E304" s="817">
        <f>E305</f>
        <v>592262712</v>
      </c>
    </row>
    <row r="305" spans="1:5" ht="17.100000000000001" customHeight="1">
      <c r="A305" s="812"/>
      <c r="B305" s="820"/>
      <c r="C305" s="1580" t="s">
        <v>857</v>
      </c>
      <c r="D305" s="1580"/>
      <c r="E305" s="828">
        <f>SUM(E306:E312)</f>
        <v>592262712</v>
      </c>
    </row>
    <row r="306" spans="1:5" ht="17.100000000000001" customHeight="1">
      <c r="A306" s="812"/>
      <c r="B306" s="820"/>
      <c r="C306" s="821" t="s">
        <v>405</v>
      </c>
      <c r="D306" s="822" t="s">
        <v>806</v>
      </c>
      <c r="E306" s="828">
        <v>40661258</v>
      </c>
    </row>
    <row r="307" spans="1:5" ht="17.100000000000001" customHeight="1">
      <c r="A307" s="812"/>
      <c r="B307" s="820"/>
      <c r="C307" s="821" t="s">
        <v>406</v>
      </c>
      <c r="D307" s="822" t="s">
        <v>806</v>
      </c>
      <c r="E307" s="828">
        <f>427839682-2125000</f>
        <v>425714682</v>
      </c>
    </row>
    <row r="308" spans="1:5" ht="17.100000000000001" customHeight="1">
      <c r="A308" s="812"/>
      <c r="B308" s="820"/>
      <c r="C308" s="821" t="s">
        <v>349</v>
      </c>
      <c r="D308" s="822" t="s">
        <v>806</v>
      </c>
      <c r="E308" s="828">
        <v>17673098</v>
      </c>
    </row>
    <row r="309" spans="1:5" ht="17.100000000000001" customHeight="1">
      <c r="A309" s="812"/>
      <c r="B309" s="820"/>
      <c r="C309" s="821" t="s">
        <v>451</v>
      </c>
      <c r="D309" s="822" t="s">
        <v>806</v>
      </c>
      <c r="E309" s="828">
        <f>79179669-2119838+1744838</f>
        <v>78804669</v>
      </c>
    </row>
    <row r="310" spans="1:5" ht="17.100000000000001" customHeight="1">
      <c r="A310" s="812"/>
      <c r="B310" s="820"/>
      <c r="C310" s="821" t="s">
        <v>401</v>
      </c>
      <c r="D310" s="822" t="s">
        <v>819</v>
      </c>
      <c r="E310" s="828">
        <v>5897491</v>
      </c>
    </row>
    <row r="311" spans="1:5" ht="17.100000000000001" customHeight="1">
      <c r="A311" s="812"/>
      <c r="B311" s="820"/>
      <c r="C311" s="821" t="s">
        <v>397</v>
      </c>
      <c r="D311" s="822" t="s">
        <v>819</v>
      </c>
      <c r="E311" s="828">
        <v>19451407</v>
      </c>
    </row>
    <row r="312" spans="1:5" ht="17.100000000000001" customHeight="1">
      <c r="A312" s="812"/>
      <c r="B312" s="820"/>
      <c r="C312" s="821" t="s">
        <v>850</v>
      </c>
      <c r="D312" s="822" t="s">
        <v>819</v>
      </c>
      <c r="E312" s="828">
        <v>4060107</v>
      </c>
    </row>
    <row r="313" spans="1:5" ht="17.100000000000001" customHeight="1">
      <c r="A313" s="812"/>
      <c r="B313" s="820"/>
      <c r="C313" s="838"/>
      <c r="D313" s="842"/>
      <c r="E313" s="843"/>
    </row>
    <row r="314" spans="1:5" ht="17.100000000000001" customHeight="1">
      <c r="A314" s="812"/>
      <c r="B314" s="820"/>
      <c r="C314" s="1578" t="s">
        <v>811</v>
      </c>
      <c r="D314" s="1596"/>
      <c r="E314" s="841">
        <f>SUM(E315:E321)</f>
        <v>563018527</v>
      </c>
    </row>
    <row r="315" spans="1:5" ht="17.100000000000001" customHeight="1">
      <c r="A315" s="812"/>
      <c r="B315" s="820"/>
      <c r="C315" s="888" t="s">
        <v>405</v>
      </c>
      <c r="D315" s="900" t="s">
        <v>806</v>
      </c>
      <c r="E315" s="828">
        <v>13982073</v>
      </c>
    </row>
    <row r="316" spans="1:5" ht="17.100000000000001" customHeight="1">
      <c r="A316" s="812"/>
      <c r="B316" s="820"/>
      <c r="C316" s="888" t="s">
        <v>406</v>
      </c>
      <c r="D316" s="900" t="s">
        <v>806</v>
      </c>
      <c r="E316" s="828">
        <f>427839682-2125000</f>
        <v>425714682</v>
      </c>
    </row>
    <row r="317" spans="1:5" ht="17.100000000000001" customHeight="1">
      <c r="A317" s="812"/>
      <c r="B317" s="820"/>
      <c r="C317" s="888" t="s">
        <v>349</v>
      </c>
      <c r="D317" s="900" t="s">
        <v>806</v>
      </c>
      <c r="E317" s="828">
        <v>17673098</v>
      </c>
    </row>
    <row r="318" spans="1:5" ht="17.100000000000001" customHeight="1">
      <c r="A318" s="812"/>
      <c r="B318" s="820"/>
      <c r="C318" s="821" t="s">
        <v>451</v>
      </c>
      <c r="D318" s="822" t="s">
        <v>806</v>
      </c>
      <c r="E318" s="828">
        <f>79179669-2119838+1744838</f>
        <v>78804669</v>
      </c>
    </row>
    <row r="319" spans="1:5" ht="17.100000000000001" customHeight="1">
      <c r="A319" s="812"/>
      <c r="B319" s="820"/>
      <c r="C319" s="821" t="s">
        <v>401</v>
      </c>
      <c r="D319" s="822" t="s">
        <v>819</v>
      </c>
      <c r="E319" s="828">
        <v>3332491</v>
      </c>
    </row>
    <row r="320" spans="1:5" ht="17.100000000000001" customHeight="1">
      <c r="A320" s="812"/>
      <c r="B320" s="820"/>
      <c r="C320" s="821" t="s">
        <v>397</v>
      </c>
      <c r="D320" s="822" t="s">
        <v>819</v>
      </c>
      <c r="E320" s="828">
        <v>19451407</v>
      </c>
    </row>
    <row r="321" spans="1:5" ht="17.100000000000001" customHeight="1" thickBot="1">
      <c r="A321" s="812"/>
      <c r="B321" s="820"/>
      <c r="C321" s="833" t="s">
        <v>850</v>
      </c>
      <c r="D321" s="834" t="s">
        <v>819</v>
      </c>
      <c r="E321" s="828">
        <v>4060107</v>
      </c>
    </row>
    <row r="322" spans="1:5" ht="15" customHeight="1" thickBot="1">
      <c r="A322" s="812"/>
      <c r="B322" s="858" t="s">
        <v>120</v>
      </c>
      <c r="C322" s="859"/>
      <c r="D322" s="860" t="s">
        <v>858</v>
      </c>
      <c r="E322" s="861">
        <f t="shared" ref="E322:E324" si="32">E323</f>
        <v>2945000</v>
      </c>
    </row>
    <row r="323" spans="1:5">
      <c r="A323" s="812"/>
      <c r="B323" s="820"/>
      <c r="C323" s="1593" t="s">
        <v>859</v>
      </c>
      <c r="D323" s="1593"/>
      <c r="E323" s="817">
        <f t="shared" si="32"/>
        <v>2945000</v>
      </c>
    </row>
    <row r="324" spans="1:5">
      <c r="A324" s="812"/>
      <c r="B324" s="820"/>
      <c r="C324" s="1580" t="s">
        <v>860</v>
      </c>
      <c r="D324" s="1580"/>
      <c r="E324" s="828">
        <f t="shared" si="32"/>
        <v>2945000</v>
      </c>
    </row>
    <row r="325" spans="1:5" ht="39" thickBot="1">
      <c r="A325" s="812"/>
      <c r="B325" s="820"/>
      <c r="C325" s="833" t="s">
        <v>861</v>
      </c>
      <c r="D325" s="834" t="s">
        <v>862</v>
      </c>
      <c r="E325" s="857">
        <v>2945000</v>
      </c>
    </row>
    <row r="326" spans="1:5" ht="17.100000000000001" customHeight="1" thickBot="1">
      <c r="A326" s="812"/>
      <c r="B326" s="858" t="s">
        <v>222</v>
      </c>
      <c r="C326" s="859"/>
      <c r="D326" s="860" t="s">
        <v>213</v>
      </c>
      <c r="E326" s="861">
        <f>E327</f>
        <v>572743</v>
      </c>
    </row>
    <row r="327" spans="1:5" ht="17.100000000000001" customHeight="1">
      <c r="A327" s="812"/>
      <c r="B327" s="1587"/>
      <c r="C327" s="1583" t="s">
        <v>753</v>
      </c>
      <c r="D327" s="1583"/>
      <c r="E327" s="817">
        <f t="shared" ref="E327" si="33">E328</f>
        <v>572743</v>
      </c>
    </row>
    <row r="328" spans="1:5" ht="17.100000000000001" customHeight="1">
      <c r="A328" s="812"/>
      <c r="B328" s="1587"/>
      <c r="C328" s="1588" t="s">
        <v>754</v>
      </c>
      <c r="D328" s="1588"/>
      <c r="E328" s="828">
        <f>E329+E334</f>
        <v>572743</v>
      </c>
    </row>
    <row r="329" spans="1:5" ht="17.100000000000001" customHeight="1">
      <c r="A329" s="812"/>
      <c r="B329" s="1587"/>
      <c r="C329" s="1589" t="s">
        <v>755</v>
      </c>
      <c r="D329" s="1589"/>
      <c r="E329" s="841">
        <f>SUM(E330:E332)</f>
        <v>483353</v>
      </c>
    </row>
    <row r="330" spans="1:5" ht="17.100000000000001" customHeight="1">
      <c r="A330" s="812"/>
      <c r="B330" s="1587"/>
      <c r="C330" s="821" t="s">
        <v>538</v>
      </c>
      <c r="D330" s="822" t="s">
        <v>756</v>
      </c>
      <c r="E330" s="828">
        <v>376596</v>
      </c>
    </row>
    <row r="331" spans="1:5" ht="17.100000000000001" customHeight="1">
      <c r="A331" s="812"/>
      <c r="B331" s="1587"/>
      <c r="C331" s="821" t="s">
        <v>757</v>
      </c>
      <c r="D331" s="822" t="s">
        <v>758</v>
      </c>
      <c r="E331" s="828">
        <v>26771</v>
      </c>
    </row>
    <row r="332" spans="1:5" ht="17.100000000000001" customHeight="1">
      <c r="A332" s="812"/>
      <c r="B332" s="1587"/>
      <c r="C332" s="821" t="s">
        <v>759</v>
      </c>
      <c r="D332" s="822" t="s">
        <v>760</v>
      </c>
      <c r="E332" s="828">
        <v>79986</v>
      </c>
    </row>
    <row r="333" spans="1:5" ht="17.100000000000001" customHeight="1">
      <c r="A333" s="812"/>
      <c r="B333" s="1587"/>
      <c r="C333" s="892"/>
      <c r="D333" s="892"/>
      <c r="E333" s="828"/>
    </row>
    <row r="334" spans="1:5" ht="17.100000000000001" customHeight="1">
      <c r="A334" s="812"/>
      <c r="B334" s="1587"/>
      <c r="C334" s="1578" t="s">
        <v>765</v>
      </c>
      <c r="D334" s="1578"/>
      <c r="E334" s="841">
        <f>SUM(E335:E336)</f>
        <v>89390</v>
      </c>
    </row>
    <row r="335" spans="1:5" ht="17.100000000000001" customHeight="1">
      <c r="A335" s="812"/>
      <c r="B335" s="1587"/>
      <c r="C335" s="865" t="s">
        <v>766</v>
      </c>
      <c r="D335" s="901" t="s">
        <v>767</v>
      </c>
      <c r="E335" s="857">
        <v>9390</v>
      </c>
    </row>
    <row r="336" spans="1:5" ht="17.100000000000001" customHeight="1">
      <c r="A336" s="902"/>
      <c r="B336" s="1613"/>
      <c r="C336" s="903" t="s">
        <v>517</v>
      </c>
      <c r="D336" s="827" t="s">
        <v>778</v>
      </c>
      <c r="E336" s="828">
        <v>80000</v>
      </c>
    </row>
    <row r="337" spans="1:5" ht="17.100000000000001" customHeight="1" thickBot="1">
      <c r="A337" s="904" t="s">
        <v>121</v>
      </c>
      <c r="B337" s="905"/>
      <c r="C337" s="906"/>
      <c r="D337" s="907" t="s">
        <v>863</v>
      </c>
      <c r="E337" s="908">
        <f>E338+E346</f>
        <v>971569</v>
      </c>
    </row>
    <row r="338" spans="1:5" ht="17.100000000000001" customHeight="1" thickBot="1">
      <c r="A338" s="812"/>
      <c r="B338" s="858" t="s">
        <v>122</v>
      </c>
      <c r="C338" s="859"/>
      <c r="D338" s="860" t="s">
        <v>864</v>
      </c>
      <c r="E338" s="861">
        <f>E339</f>
        <v>650000</v>
      </c>
    </row>
    <row r="339" spans="1:5" ht="17.100000000000001" customHeight="1">
      <c r="A339" s="812"/>
      <c r="B339" s="820"/>
      <c r="C339" s="1583" t="s">
        <v>753</v>
      </c>
      <c r="D339" s="1583"/>
      <c r="E339" s="817">
        <f t="shared" ref="E339" si="34">E340+E344</f>
        <v>650000</v>
      </c>
    </row>
    <row r="340" spans="1:5" ht="17.100000000000001" customHeight="1">
      <c r="A340" s="812"/>
      <c r="B340" s="820"/>
      <c r="C340" s="1588" t="s">
        <v>754</v>
      </c>
      <c r="D340" s="1588"/>
      <c r="E340" s="828">
        <f t="shared" ref="E340:E341" si="35">E341</f>
        <v>550000</v>
      </c>
    </row>
    <row r="341" spans="1:5" ht="17.100000000000001" customHeight="1">
      <c r="A341" s="812"/>
      <c r="B341" s="820"/>
      <c r="C341" s="1578" t="s">
        <v>765</v>
      </c>
      <c r="D341" s="1578"/>
      <c r="E341" s="841">
        <f t="shared" si="35"/>
        <v>550000</v>
      </c>
    </row>
    <row r="342" spans="1:5" ht="17.100000000000001" customHeight="1">
      <c r="A342" s="812"/>
      <c r="B342" s="820"/>
      <c r="C342" s="821" t="s">
        <v>787</v>
      </c>
      <c r="D342" s="822" t="s">
        <v>788</v>
      </c>
      <c r="E342" s="828">
        <v>550000</v>
      </c>
    </row>
    <row r="343" spans="1:5" ht="17.100000000000001" customHeight="1">
      <c r="A343" s="812"/>
      <c r="B343" s="820"/>
      <c r="C343" s="888"/>
      <c r="D343" s="866"/>
      <c r="E343" s="828"/>
    </row>
    <row r="344" spans="1:5" ht="17.100000000000001" customHeight="1">
      <c r="A344" s="812"/>
      <c r="B344" s="820"/>
      <c r="C344" s="1580" t="s">
        <v>815</v>
      </c>
      <c r="D344" s="1580"/>
      <c r="E344" s="828">
        <f t="shared" ref="E344" si="36">E345</f>
        <v>100000</v>
      </c>
    </row>
    <row r="345" spans="1:5" ht="39" thickBot="1">
      <c r="A345" s="812"/>
      <c r="B345" s="820"/>
      <c r="C345" s="821" t="s">
        <v>827</v>
      </c>
      <c r="D345" s="822" t="s">
        <v>865</v>
      </c>
      <c r="E345" s="828">
        <v>100000</v>
      </c>
    </row>
    <row r="346" spans="1:5" ht="17.100000000000001" customHeight="1" thickBot="1">
      <c r="A346" s="812"/>
      <c r="B346" s="858" t="s">
        <v>224</v>
      </c>
      <c r="C346" s="859"/>
      <c r="D346" s="860" t="s">
        <v>213</v>
      </c>
      <c r="E346" s="861">
        <f>SUM(E347)</f>
        <v>321569</v>
      </c>
    </row>
    <row r="347" spans="1:5" ht="17.100000000000001" customHeight="1">
      <c r="A347" s="812"/>
      <c r="B347" s="1597"/>
      <c r="C347" s="1616" t="s">
        <v>753</v>
      </c>
      <c r="D347" s="1617"/>
      <c r="E347" s="909">
        <f t="shared" ref="E347" si="37">E348</f>
        <v>321569</v>
      </c>
    </row>
    <row r="348" spans="1:5" ht="16.5" customHeight="1">
      <c r="A348" s="812"/>
      <c r="B348" s="1597"/>
      <c r="C348" s="1618" t="s">
        <v>754</v>
      </c>
      <c r="D348" s="1619"/>
      <c r="E348" s="910">
        <f>E349+E354</f>
        <v>321569</v>
      </c>
    </row>
    <row r="349" spans="1:5" ht="16.5" customHeight="1">
      <c r="A349" s="812"/>
      <c r="B349" s="1597"/>
      <c r="C349" s="1589" t="s">
        <v>755</v>
      </c>
      <c r="D349" s="1589"/>
      <c r="E349" s="841">
        <f>SUM(E350:E352)</f>
        <v>276203</v>
      </c>
    </row>
    <row r="350" spans="1:5" ht="16.5" customHeight="1">
      <c r="A350" s="812"/>
      <c r="B350" s="1597"/>
      <c r="C350" s="821" t="s">
        <v>538</v>
      </c>
      <c r="D350" s="822" t="s">
        <v>756</v>
      </c>
      <c r="E350" s="828">
        <v>215199</v>
      </c>
    </row>
    <row r="351" spans="1:5" ht="16.5" customHeight="1">
      <c r="A351" s="812"/>
      <c r="B351" s="1597"/>
      <c r="C351" s="821" t="s">
        <v>757</v>
      </c>
      <c r="D351" s="822" t="s">
        <v>758</v>
      </c>
      <c r="E351" s="828">
        <v>15298</v>
      </c>
    </row>
    <row r="352" spans="1:5" ht="16.5" customHeight="1">
      <c r="A352" s="812"/>
      <c r="B352" s="1597"/>
      <c r="C352" s="821" t="s">
        <v>759</v>
      </c>
      <c r="D352" s="822" t="s">
        <v>760</v>
      </c>
      <c r="E352" s="828">
        <v>45706</v>
      </c>
    </row>
    <row r="353" spans="1:5" ht="16.5" customHeight="1">
      <c r="A353" s="812"/>
      <c r="B353" s="1597"/>
      <c r="C353" s="911"/>
      <c r="D353" s="912"/>
      <c r="E353" s="910"/>
    </row>
    <row r="354" spans="1:5" ht="16.5" customHeight="1">
      <c r="A354" s="812"/>
      <c r="B354" s="1597"/>
      <c r="C354" s="1591" t="s">
        <v>765</v>
      </c>
      <c r="D354" s="1578"/>
      <c r="E354" s="910">
        <f>E355+E356</f>
        <v>45366</v>
      </c>
    </row>
    <row r="355" spans="1:5" ht="16.5" customHeight="1">
      <c r="A355" s="812"/>
      <c r="B355" s="1597"/>
      <c r="C355" s="913" t="s">
        <v>766</v>
      </c>
      <c r="D355" s="914" t="s">
        <v>767</v>
      </c>
      <c r="E355" s="915">
        <v>5366</v>
      </c>
    </row>
    <row r="356" spans="1:5" ht="16.5" customHeight="1" thickBot="1">
      <c r="A356" s="812"/>
      <c r="B356" s="1615"/>
      <c r="C356" s="916" t="s">
        <v>517</v>
      </c>
      <c r="D356" s="917" t="s">
        <v>778</v>
      </c>
      <c r="E356" s="918">
        <v>40000</v>
      </c>
    </row>
    <row r="357" spans="1:5" ht="17.100000000000001" customHeight="1" thickBot="1">
      <c r="A357" s="807" t="s">
        <v>866</v>
      </c>
      <c r="B357" s="808"/>
      <c r="C357" s="809"/>
      <c r="D357" s="810" t="s">
        <v>867</v>
      </c>
      <c r="E357" s="811">
        <f>E358</f>
        <v>790000</v>
      </c>
    </row>
    <row r="358" spans="1:5" ht="17.100000000000001" customHeight="1" thickBot="1">
      <c r="A358" s="812"/>
      <c r="B358" s="858" t="s">
        <v>868</v>
      </c>
      <c r="C358" s="859"/>
      <c r="D358" s="860" t="s">
        <v>629</v>
      </c>
      <c r="E358" s="861">
        <f>E359</f>
        <v>790000</v>
      </c>
    </row>
    <row r="359" spans="1:5" ht="17.100000000000001" customHeight="1">
      <c r="A359" s="812"/>
      <c r="B359" s="837"/>
      <c r="C359" s="1583" t="s">
        <v>753</v>
      </c>
      <c r="D359" s="1583"/>
      <c r="E359" s="817">
        <f>E360</f>
        <v>790000</v>
      </c>
    </row>
    <row r="360" spans="1:5" ht="17.100000000000001" customHeight="1">
      <c r="A360" s="812"/>
      <c r="B360" s="837"/>
      <c r="C360" s="1627" t="s">
        <v>754</v>
      </c>
      <c r="D360" s="1627"/>
      <c r="E360" s="828">
        <f>E362</f>
        <v>790000</v>
      </c>
    </row>
    <row r="361" spans="1:5" ht="17.100000000000001" customHeight="1">
      <c r="A361" s="812"/>
      <c r="B361" s="837"/>
      <c r="C361" s="919"/>
      <c r="D361" s="919"/>
      <c r="E361" s="828"/>
    </row>
    <row r="362" spans="1:5" ht="17.100000000000001" customHeight="1">
      <c r="A362" s="812"/>
      <c r="B362" s="837"/>
      <c r="C362" s="1620" t="s">
        <v>765</v>
      </c>
      <c r="D362" s="1620"/>
      <c r="E362" s="841">
        <f>SUM(E363:E368)</f>
        <v>790000</v>
      </c>
    </row>
    <row r="363" spans="1:5" ht="17.100000000000001" customHeight="1">
      <c r="A363" s="812"/>
      <c r="B363" s="820"/>
      <c r="C363" s="920" t="s">
        <v>768</v>
      </c>
      <c r="D363" s="921" t="s">
        <v>769</v>
      </c>
      <c r="E363" s="828">
        <v>10000</v>
      </c>
    </row>
    <row r="364" spans="1:5" ht="17.100000000000001" customHeight="1">
      <c r="A364" s="812"/>
      <c r="B364" s="820"/>
      <c r="C364" s="920" t="s">
        <v>774</v>
      </c>
      <c r="D364" s="921" t="s">
        <v>775</v>
      </c>
      <c r="E364" s="828">
        <v>10000</v>
      </c>
    </row>
    <row r="365" spans="1:5" ht="17.100000000000001" customHeight="1">
      <c r="A365" s="812"/>
      <c r="B365" s="820"/>
      <c r="C365" s="920" t="s">
        <v>517</v>
      </c>
      <c r="D365" s="921" t="s">
        <v>778</v>
      </c>
      <c r="E365" s="828">
        <v>370000</v>
      </c>
    </row>
    <row r="366" spans="1:5" ht="17.100000000000001" customHeight="1">
      <c r="A366" s="812"/>
      <c r="B366" s="820"/>
      <c r="C366" s="920" t="s">
        <v>791</v>
      </c>
      <c r="D366" s="921" t="s">
        <v>792</v>
      </c>
      <c r="E366" s="828">
        <v>100000</v>
      </c>
    </row>
    <row r="367" spans="1:5" ht="17.100000000000001" customHeight="1">
      <c r="A367" s="812"/>
      <c r="B367" s="820"/>
      <c r="C367" s="920" t="s">
        <v>795</v>
      </c>
      <c r="D367" s="921" t="s">
        <v>796</v>
      </c>
      <c r="E367" s="828">
        <v>270000</v>
      </c>
    </row>
    <row r="368" spans="1:5" ht="17.100000000000001" customHeight="1" thickBot="1">
      <c r="A368" s="812"/>
      <c r="B368" s="820"/>
      <c r="C368" s="920" t="s">
        <v>825</v>
      </c>
      <c r="D368" s="921" t="s">
        <v>826</v>
      </c>
      <c r="E368" s="828">
        <v>30000</v>
      </c>
    </row>
    <row r="369" spans="1:10" ht="17.100000000000001" customHeight="1" thickBot="1">
      <c r="A369" s="807" t="s">
        <v>225</v>
      </c>
      <c r="B369" s="869"/>
      <c r="C369" s="870"/>
      <c r="D369" s="871" t="s">
        <v>869</v>
      </c>
      <c r="E369" s="872">
        <f>SUM(E370,E405,E436)</f>
        <v>56697770</v>
      </c>
      <c r="J369" s="922"/>
    </row>
    <row r="370" spans="1:10" ht="17.100000000000001" customHeight="1" thickBot="1">
      <c r="A370" s="812"/>
      <c r="B370" s="858" t="s">
        <v>870</v>
      </c>
      <c r="C370" s="859"/>
      <c r="D370" s="860" t="s">
        <v>639</v>
      </c>
      <c r="E370" s="861">
        <f>E371+E402</f>
        <v>4137168</v>
      </c>
    </row>
    <row r="371" spans="1:10" ht="17.100000000000001" customHeight="1">
      <c r="A371" s="812"/>
      <c r="B371" s="820"/>
      <c r="C371" s="1583" t="s">
        <v>753</v>
      </c>
      <c r="D371" s="1583"/>
      <c r="E371" s="817">
        <f>E372+E399</f>
        <v>4127168</v>
      </c>
    </row>
    <row r="372" spans="1:10" ht="17.100000000000001" customHeight="1">
      <c r="A372" s="812"/>
      <c r="B372" s="820"/>
      <c r="C372" s="1627" t="s">
        <v>754</v>
      </c>
      <c r="D372" s="1627"/>
      <c r="E372" s="828">
        <f t="shared" ref="E372" si="38">E373+E380</f>
        <v>4119168</v>
      </c>
    </row>
    <row r="373" spans="1:10" ht="17.100000000000001" customHeight="1">
      <c r="A373" s="812"/>
      <c r="B373" s="820"/>
      <c r="C373" s="1628" t="s">
        <v>755</v>
      </c>
      <c r="D373" s="1628"/>
      <c r="E373" s="841">
        <f t="shared" ref="E373" si="39">SUM(E374:E378)</f>
        <v>3585655</v>
      </c>
    </row>
    <row r="374" spans="1:10" ht="17.100000000000001" customHeight="1">
      <c r="A374" s="812"/>
      <c r="B374" s="820"/>
      <c r="C374" s="920" t="s">
        <v>538</v>
      </c>
      <c r="D374" s="921" t="s">
        <v>756</v>
      </c>
      <c r="E374" s="828">
        <v>2787430</v>
      </c>
    </row>
    <row r="375" spans="1:10" ht="17.100000000000001" customHeight="1">
      <c r="A375" s="812"/>
      <c r="B375" s="820"/>
      <c r="C375" s="920" t="s">
        <v>757</v>
      </c>
      <c r="D375" s="921" t="s">
        <v>758</v>
      </c>
      <c r="E375" s="828">
        <v>220400</v>
      </c>
    </row>
    <row r="376" spans="1:10" ht="17.100000000000001" customHeight="1">
      <c r="A376" s="812"/>
      <c r="B376" s="820"/>
      <c r="C376" s="920" t="s">
        <v>759</v>
      </c>
      <c r="D376" s="921" t="s">
        <v>760</v>
      </c>
      <c r="E376" s="828">
        <v>490015</v>
      </c>
    </row>
    <row r="377" spans="1:10" ht="17.100000000000001" customHeight="1">
      <c r="A377" s="812"/>
      <c r="B377" s="820"/>
      <c r="C377" s="920" t="s">
        <v>761</v>
      </c>
      <c r="D377" s="921" t="s">
        <v>762</v>
      </c>
      <c r="E377" s="828">
        <v>47810</v>
      </c>
    </row>
    <row r="378" spans="1:10" ht="17.100000000000001" customHeight="1">
      <c r="A378" s="812"/>
      <c r="B378" s="820"/>
      <c r="C378" s="920" t="s">
        <v>763</v>
      </c>
      <c r="D378" s="921" t="s">
        <v>764</v>
      </c>
      <c r="E378" s="828">
        <v>40000</v>
      </c>
    </row>
    <row r="379" spans="1:10" ht="17.100000000000001" customHeight="1">
      <c r="A379" s="812"/>
      <c r="B379" s="820"/>
      <c r="C379" s="838"/>
      <c r="D379" s="838"/>
      <c r="E379" s="825"/>
    </row>
    <row r="380" spans="1:10" ht="17.100000000000001" customHeight="1">
      <c r="A380" s="812"/>
      <c r="B380" s="820"/>
      <c r="C380" s="1620" t="s">
        <v>765</v>
      </c>
      <c r="D380" s="1620"/>
      <c r="E380" s="841">
        <f>SUM(E381:E397)</f>
        <v>533513</v>
      </c>
    </row>
    <row r="381" spans="1:10" ht="17.100000000000001" customHeight="1">
      <c r="A381" s="812"/>
      <c r="B381" s="820"/>
      <c r="C381" s="923" t="s">
        <v>766</v>
      </c>
      <c r="D381" s="924" t="s">
        <v>767</v>
      </c>
      <c r="E381" s="828">
        <v>23700</v>
      </c>
    </row>
    <row r="382" spans="1:10" ht="17.100000000000001" customHeight="1">
      <c r="A382" s="812"/>
      <c r="B382" s="820"/>
      <c r="C382" s="920" t="s">
        <v>768</v>
      </c>
      <c r="D382" s="921" t="s">
        <v>769</v>
      </c>
      <c r="E382" s="828">
        <v>80000</v>
      </c>
    </row>
    <row r="383" spans="1:10" ht="17.100000000000001" customHeight="1">
      <c r="A383" s="812"/>
      <c r="B383" s="820"/>
      <c r="C383" s="920" t="s">
        <v>770</v>
      </c>
      <c r="D383" s="921" t="s">
        <v>871</v>
      </c>
      <c r="E383" s="828">
        <v>2000</v>
      </c>
    </row>
    <row r="384" spans="1:10" ht="17.100000000000001" customHeight="1">
      <c r="A384" s="812"/>
      <c r="B384" s="820"/>
      <c r="C384" s="920" t="s">
        <v>872</v>
      </c>
      <c r="D384" s="921" t="s">
        <v>873</v>
      </c>
      <c r="E384" s="828">
        <v>1000</v>
      </c>
    </row>
    <row r="385" spans="1:5" ht="17.100000000000001" customHeight="1">
      <c r="A385" s="812"/>
      <c r="B385" s="820"/>
      <c r="C385" s="920" t="s">
        <v>772</v>
      </c>
      <c r="D385" s="921" t="s">
        <v>773</v>
      </c>
      <c r="E385" s="828">
        <v>105000</v>
      </c>
    </row>
    <row r="386" spans="1:5" ht="17.100000000000001" customHeight="1">
      <c r="A386" s="812"/>
      <c r="B386" s="820"/>
      <c r="C386" s="920" t="s">
        <v>774</v>
      </c>
      <c r="D386" s="921" t="s">
        <v>775</v>
      </c>
      <c r="E386" s="828">
        <v>15000</v>
      </c>
    </row>
    <row r="387" spans="1:5" ht="17.100000000000001" customHeight="1">
      <c r="A387" s="812"/>
      <c r="B387" s="820"/>
      <c r="C387" s="920" t="s">
        <v>776</v>
      </c>
      <c r="D387" s="921" t="s">
        <v>777</v>
      </c>
      <c r="E387" s="828">
        <v>3400</v>
      </c>
    </row>
    <row r="388" spans="1:5" ht="17.100000000000001" customHeight="1">
      <c r="A388" s="812"/>
      <c r="B388" s="820"/>
      <c r="C388" s="920" t="s">
        <v>517</v>
      </c>
      <c r="D388" s="921" t="s">
        <v>778</v>
      </c>
      <c r="E388" s="828">
        <v>94358</v>
      </c>
    </row>
    <row r="389" spans="1:5" ht="16.5" customHeight="1">
      <c r="A389" s="812"/>
      <c r="B389" s="820"/>
      <c r="C389" s="920" t="s">
        <v>779</v>
      </c>
      <c r="D389" s="921" t="s">
        <v>780</v>
      </c>
      <c r="E389" s="828">
        <v>10120</v>
      </c>
    </row>
    <row r="390" spans="1:5" ht="16.5" customHeight="1">
      <c r="A390" s="812"/>
      <c r="B390" s="820"/>
      <c r="C390" s="920" t="s">
        <v>783</v>
      </c>
      <c r="D390" s="921" t="s">
        <v>784</v>
      </c>
      <c r="E390" s="828">
        <v>80410</v>
      </c>
    </row>
    <row r="391" spans="1:5" ht="17.100000000000001" customHeight="1">
      <c r="A391" s="812"/>
      <c r="B391" s="820"/>
      <c r="C391" s="920" t="s">
        <v>785</v>
      </c>
      <c r="D391" s="921" t="s">
        <v>786</v>
      </c>
      <c r="E391" s="828">
        <v>7000</v>
      </c>
    </row>
    <row r="392" spans="1:5" ht="17.100000000000001" hidden="1" customHeight="1">
      <c r="A392" s="812"/>
      <c r="B392" s="820"/>
      <c r="C392" s="920" t="s">
        <v>853</v>
      </c>
      <c r="D392" s="921" t="s">
        <v>854</v>
      </c>
      <c r="E392" s="828">
        <v>0</v>
      </c>
    </row>
    <row r="393" spans="1:5" ht="17.100000000000001" customHeight="1">
      <c r="A393" s="812"/>
      <c r="B393" s="820"/>
      <c r="C393" s="920" t="s">
        <v>787</v>
      </c>
      <c r="D393" s="921" t="s">
        <v>788</v>
      </c>
      <c r="E393" s="828">
        <v>4510</v>
      </c>
    </row>
    <row r="394" spans="1:5" ht="17.100000000000001" customHeight="1">
      <c r="A394" s="812"/>
      <c r="B394" s="820"/>
      <c r="C394" s="920" t="s">
        <v>789</v>
      </c>
      <c r="D394" s="921" t="s">
        <v>790</v>
      </c>
      <c r="E394" s="828">
        <v>77975</v>
      </c>
    </row>
    <row r="395" spans="1:5" ht="17.100000000000001" customHeight="1">
      <c r="A395" s="812"/>
      <c r="B395" s="820"/>
      <c r="C395" s="920" t="s">
        <v>791</v>
      </c>
      <c r="D395" s="921" t="s">
        <v>792</v>
      </c>
      <c r="E395" s="828">
        <v>7000</v>
      </c>
    </row>
    <row r="396" spans="1:5" ht="17.100000000000001" customHeight="1">
      <c r="A396" s="812"/>
      <c r="B396" s="820"/>
      <c r="C396" s="920" t="s">
        <v>795</v>
      </c>
      <c r="D396" s="921" t="s">
        <v>796</v>
      </c>
      <c r="E396" s="828">
        <v>11040</v>
      </c>
    </row>
    <row r="397" spans="1:5" ht="17.100000000000001" customHeight="1">
      <c r="A397" s="812"/>
      <c r="B397" s="820"/>
      <c r="C397" s="920" t="s">
        <v>799</v>
      </c>
      <c r="D397" s="921" t="s">
        <v>800</v>
      </c>
      <c r="E397" s="828">
        <v>11000</v>
      </c>
    </row>
    <row r="398" spans="1:5" ht="17.100000000000001" customHeight="1">
      <c r="A398" s="812"/>
      <c r="B398" s="820"/>
      <c r="C398" s="838"/>
      <c r="D398" s="838"/>
      <c r="E398" s="825"/>
    </row>
    <row r="399" spans="1:5" ht="17.100000000000001" customHeight="1">
      <c r="A399" s="812"/>
      <c r="B399" s="820"/>
      <c r="C399" s="1621" t="s">
        <v>801</v>
      </c>
      <c r="D399" s="1621"/>
      <c r="E399" s="828">
        <f t="shared" ref="E399" si="40">E400</f>
        <v>8000</v>
      </c>
    </row>
    <row r="400" spans="1:5" ht="17.100000000000001" customHeight="1">
      <c r="A400" s="812"/>
      <c r="B400" s="820"/>
      <c r="C400" s="925" t="s">
        <v>802</v>
      </c>
      <c r="D400" s="926" t="s">
        <v>803</v>
      </c>
      <c r="E400" s="927">
        <v>8000</v>
      </c>
    </row>
    <row r="401" spans="1:5" ht="17.100000000000001" customHeight="1">
      <c r="A401" s="812"/>
      <c r="B401" s="820"/>
      <c r="C401" s="1622"/>
      <c r="D401" s="1623"/>
      <c r="E401" s="928"/>
    </row>
    <row r="402" spans="1:5" ht="17.100000000000001" customHeight="1">
      <c r="A402" s="812"/>
      <c r="B402" s="820"/>
      <c r="C402" s="1624" t="s">
        <v>804</v>
      </c>
      <c r="D402" s="1625"/>
      <c r="E402" s="929">
        <f>E403</f>
        <v>10000</v>
      </c>
    </row>
    <row r="403" spans="1:5" ht="17.100000000000001" customHeight="1">
      <c r="A403" s="812"/>
      <c r="B403" s="820"/>
      <c r="C403" s="1626" t="s">
        <v>857</v>
      </c>
      <c r="D403" s="1621"/>
      <c r="E403" s="927">
        <f>SUM(E404:E404)</f>
        <v>10000</v>
      </c>
    </row>
    <row r="404" spans="1:5" ht="17.100000000000001" customHeight="1" thickBot="1">
      <c r="A404" s="812"/>
      <c r="B404" s="820"/>
      <c r="C404" s="930" t="s">
        <v>401</v>
      </c>
      <c r="D404" s="921" t="s">
        <v>819</v>
      </c>
      <c r="E404" s="927">
        <v>10000</v>
      </c>
    </row>
    <row r="405" spans="1:5" ht="17.100000000000001" customHeight="1" thickBot="1">
      <c r="A405" s="812"/>
      <c r="B405" s="858" t="s">
        <v>227</v>
      </c>
      <c r="C405" s="859"/>
      <c r="D405" s="860" t="s">
        <v>228</v>
      </c>
      <c r="E405" s="861">
        <f t="shared" ref="E405" si="41">E406</f>
        <v>52460602</v>
      </c>
    </row>
    <row r="406" spans="1:5" ht="17.100000000000001" customHeight="1">
      <c r="A406" s="812"/>
      <c r="B406" s="820"/>
      <c r="C406" s="1583" t="s">
        <v>753</v>
      </c>
      <c r="D406" s="1583"/>
      <c r="E406" s="817">
        <f>E407+E429+E432</f>
        <v>52460602</v>
      </c>
    </row>
    <row r="407" spans="1:5" ht="17.100000000000001" customHeight="1">
      <c r="A407" s="812"/>
      <c r="B407" s="820"/>
      <c r="C407" s="1627" t="s">
        <v>754</v>
      </c>
      <c r="D407" s="1627"/>
      <c r="E407" s="828">
        <f>E408+E415</f>
        <v>903982</v>
      </c>
    </row>
    <row r="408" spans="1:5" ht="17.100000000000001" customHeight="1">
      <c r="A408" s="812"/>
      <c r="B408" s="820"/>
      <c r="C408" s="1628" t="s">
        <v>755</v>
      </c>
      <c r="D408" s="1628"/>
      <c r="E408" s="841">
        <f t="shared" ref="E408" si="42">SUM(E409:E413)</f>
        <v>612282</v>
      </c>
    </row>
    <row r="409" spans="1:5" ht="17.100000000000001" customHeight="1">
      <c r="A409" s="812"/>
      <c r="B409" s="820"/>
      <c r="C409" s="920" t="s">
        <v>538</v>
      </c>
      <c r="D409" s="921" t="s">
        <v>756</v>
      </c>
      <c r="E409" s="828">
        <v>461836</v>
      </c>
    </row>
    <row r="410" spans="1:5" ht="17.100000000000001" customHeight="1">
      <c r="A410" s="812"/>
      <c r="B410" s="820"/>
      <c r="C410" s="920" t="s">
        <v>757</v>
      </c>
      <c r="D410" s="921" t="s">
        <v>758</v>
      </c>
      <c r="E410" s="828">
        <v>33214</v>
      </c>
    </row>
    <row r="411" spans="1:5" ht="17.100000000000001" customHeight="1">
      <c r="A411" s="812"/>
      <c r="B411" s="820"/>
      <c r="C411" s="920" t="s">
        <v>759</v>
      </c>
      <c r="D411" s="921" t="s">
        <v>760</v>
      </c>
      <c r="E411" s="828">
        <v>87396</v>
      </c>
    </row>
    <row r="412" spans="1:5" ht="17.100000000000001" customHeight="1">
      <c r="A412" s="812"/>
      <c r="B412" s="820"/>
      <c r="C412" s="920" t="s">
        <v>761</v>
      </c>
      <c r="D412" s="921" t="s">
        <v>762</v>
      </c>
      <c r="E412" s="828">
        <v>11836</v>
      </c>
    </row>
    <row r="413" spans="1:5" ht="17.100000000000001" customHeight="1">
      <c r="A413" s="812"/>
      <c r="B413" s="820"/>
      <c r="C413" s="920" t="s">
        <v>763</v>
      </c>
      <c r="D413" s="921" t="s">
        <v>764</v>
      </c>
      <c r="E413" s="828">
        <v>18000</v>
      </c>
    </row>
    <row r="414" spans="1:5" ht="17.100000000000001" customHeight="1">
      <c r="A414" s="812"/>
      <c r="B414" s="820"/>
      <c r="C414" s="838"/>
      <c r="D414" s="838"/>
      <c r="E414" s="825"/>
    </row>
    <row r="415" spans="1:5" ht="17.100000000000001" customHeight="1">
      <c r="A415" s="812"/>
      <c r="B415" s="820"/>
      <c r="C415" s="1620" t="s">
        <v>765</v>
      </c>
      <c r="D415" s="1620"/>
      <c r="E415" s="841">
        <f>SUM(E416:E427)</f>
        <v>291700</v>
      </c>
    </row>
    <row r="416" spans="1:5" ht="17.100000000000001" customHeight="1">
      <c r="A416" s="812"/>
      <c r="B416" s="820"/>
      <c r="C416" s="920" t="s">
        <v>768</v>
      </c>
      <c r="D416" s="921" t="s">
        <v>769</v>
      </c>
      <c r="E416" s="828">
        <v>50900</v>
      </c>
    </row>
    <row r="417" spans="1:5" ht="17.100000000000001" customHeight="1">
      <c r="A417" s="812"/>
      <c r="B417" s="820"/>
      <c r="C417" s="920" t="s">
        <v>770</v>
      </c>
      <c r="D417" s="921" t="s">
        <v>771</v>
      </c>
      <c r="E417" s="828">
        <v>500</v>
      </c>
    </row>
    <row r="418" spans="1:5" ht="17.100000000000001" customHeight="1">
      <c r="A418" s="812"/>
      <c r="B418" s="820"/>
      <c r="C418" s="920" t="s">
        <v>772</v>
      </c>
      <c r="D418" s="921" t="s">
        <v>773</v>
      </c>
      <c r="E418" s="828">
        <v>24900</v>
      </c>
    </row>
    <row r="419" spans="1:5" ht="17.100000000000001" customHeight="1">
      <c r="A419" s="812"/>
      <c r="B419" s="820"/>
      <c r="C419" s="920" t="s">
        <v>774</v>
      </c>
      <c r="D419" s="921" t="s">
        <v>775</v>
      </c>
      <c r="E419" s="828">
        <v>5000</v>
      </c>
    </row>
    <row r="420" spans="1:5" ht="17.100000000000001" customHeight="1">
      <c r="A420" s="812"/>
      <c r="B420" s="820"/>
      <c r="C420" s="920" t="s">
        <v>776</v>
      </c>
      <c r="D420" s="921" t="s">
        <v>777</v>
      </c>
      <c r="E420" s="828">
        <v>700</v>
      </c>
    </row>
    <row r="421" spans="1:5" ht="17.100000000000001" customHeight="1">
      <c r="A421" s="812"/>
      <c r="B421" s="820"/>
      <c r="C421" s="920" t="s">
        <v>517</v>
      </c>
      <c r="D421" s="921" t="s">
        <v>778</v>
      </c>
      <c r="E421" s="828">
        <v>151900</v>
      </c>
    </row>
    <row r="422" spans="1:5" ht="16.5" customHeight="1">
      <c r="A422" s="812"/>
      <c r="B422" s="820"/>
      <c r="C422" s="920" t="s">
        <v>779</v>
      </c>
      <c r="D422" s="921" t="s">
        <v>874</v>
      </c>
      <c r="E422" s="828">
        <v>7000</v>
      </c>
    </row>
    <row r="423" spans="1:5" ht="19.5" customHeight="1">
      <c r="A423" s="812"/>
      <c r="B423" s="820"/>
      <c r="C423" s="920" t="s">
        <v>783</v>
      </c>
      <c r="D423" s="921" t="s">
        <v>784</v>
      </c>
      <c r="E423" s="828">
        <v>29500</v>
      </c>
    </row>
    <row r="424" spans="1:5" ht="17.100000000000001" customHeight="1">
      <c r="A424" s="812"/>
      <c r="B424" s="820"/>
      <c r="C424" s="920" t="s">
        <v>785</v>
      </c>
      <c r="D424" s="921" t="s">
        <v>786</v>
      </c>
      <c r="E424" s="828">
        <v>5500</v>
      </c>
    </row>
    <row r="425" spans="1:5" ht="17.100000000000001" customHeight="1">
      <c r="A425" s="812"/>
      <c r="B425" s="820"/>
      <c r="C425" s="920" t="s">
        <v>787</v>
      </c>
      <c r="D425" s="921" t="s">
        <v>788</v>
      </c>
      <c r="E425" s="828">
        <v>1500</v>
      </c>
    </row>
    <row r="426" spans="1:5" ht="17.100000000000001" customHeight="1">
      <c r="A426" s="812"/>
      <c r="B426" s="820"/>
      <c r="C426" s="920" t="s">
        <v>789</v>
      </c>
      <c r="D426" s="921" t="s">
        <v>790</v>
      </c>
      <c r="E426" s="828">
        <v>8300</v>
      </c>
    </row>
    <row r="427" spans="1:5" ht="17.100000000000001" customHeight="1">
      <c r="A427" s="812"/>
      <c r="B427" s="820"/>
      <c r="C427" s="920" t="s">
        <v>799</v>
      </c>
      <c r="D427" s="921" t="s">
        <v>800</v>
      </c>
      <c r="E427" s="828">
        <v>6000</v>
      </c>
    </row>
    <row r="428" spans="1:5" ht="17.100000000000001" customHeight="1">
      <c r="A428" s="812"/>
      <c r="B428" s="820"/>
      <c r="C428" s="838"/>
      <c r="D428" s="838"/>
      <c r="E428" s="825"/>
    </row>
    <row r="429" spans="1:5" ht="17.100000000000001" customHeight="1">
      <c r="A429" s="812"/>
      <c r="B429" s="820"/>
      <c r="C429" s="1630" t="s">
        <v>801</v>
      </c>
      <c r="D429" s="1630"/>
      <c r="E429" s="927">
        <f t="shared" ref="E429" si="43">E430</f>
        <v>1130</v>
      </c>
    </row>
    <row r="430" spans="1:5" ht="17.100000000000001" customHeight="1">
      <c r="A430" s="812"/>
      <c r="B430" s="820"/>
      <c r="C430" s="931" t="s">
        <v>802</v>
      </c>
      <c r="D430" s="932" t="s">
        <v>803</v>
      </c>
      <c r="E430" s="828">
        <v>1130</v>
      </c>
    </row>
    <row r="431" spans="1:5" ht="17.100000000000001" customHeight="1">
      <c r="A431" s="812"/>
      <c r="B431" s="820"/>
      <c r="C431" s="933"/>
      <c r="D431" s="934"/>
      <c r="E431" s="831"/>
    </row>
    <row r="432" spans="1:5" ht="17.25" customHeight="1">
      <c r="A432" s="812"/>
      <c r="B432" s="820"/>
      <c r="C432" s="1627" t="s">
        <v>813</v>
      </c>
      <c r="D432" s="1627"/>
      <c r="E432" s="935">
        <f>SUM(E433:E435)</f>
        <v>51555490</v>
      </c>
    </row>
    <row r="433" spans="1:5" ht="52.5" customHeight="1">
      <c r="A433" s="812"/>
      <c r="B433" s="820"/>
      <c r="C433" s="920" t="s">
        <v>404</v>
      </c>
      <c r="D433" s="883" t="s">
        <v>836</v>
      </c>
      <c r="E433" s="935">
        <f>83236272-33811764</f>
        <v>49424508</v>
      </c>
    </row>
    <row r="434" spans="1:5" ht="19.5" customHeight="1">
      <c r="A434" s="812"/>
      <c r="B434" s="820"/>
      <c r="C434" s="936" t="s">
        <v>394</v>
      </c>
      <c r="D434" s="937" t="s">
        <v>778</v>
      </c>
      <c r="E434" s="868">
        <f>2406912-982748</f>
        <v>1424164</v>
      </c>
    </row>
    <row r="435" spans="1:5" ht="18.75" customHeight="1" thickBot="1">
      <c r="A435" s="812"/>
      <c r="B435" s="820"/>
      <c r="C435" s="829" t="s">
        <v>344</v>
      </c>
      <c r="D435" s="938" t="s">
        <v>778</v>
      </c>
      <c r="E435" s="831">
        <f>1314324-607506</f>
        <v>706818</v>
      </c>
    </row>
    <row r="436" spans="1:5" ht="17.100000000000001" customHeight="1" thickBot="1">
      <c r="A436" s="812"/>
      <c r="B436" s="858" t="s">
        <v>229</v>
      </c>
      <c r="C436" s="939"/>
      <c r="D436" s="860" t="s">
        <v>213</v>
      </c>
      <c r="E436" s="861">
        <f>E437</f>
        <v>100000</v>
      </c>
    </row>
    <row r="437" spans="1:5" ht="17.100000000000001" customHeight="1">
      <c r="A437" s="812"/>
      <c r="B437" s="1587"/>
      <c r="C437" s="1583" t="s">
        <v>753</v>
      </c>
      <c r="D437" s="1583"/>
      <c r="E437" s="817">
        <f t="shared" ref="E437:E438" si="44">E438</f>
        <v>100000</v>
      </c>
    </row>
    <row r="438" spans="1:5" ht="17.100000000000001" customHeight="1">
      <c r="A438" s="812"/>
      <c r="B438" s="1587"/>
      <c r="C438" s="1627" t="s">
        <v>754</v>
      </c>
      <c r="D438" s="1627"/>
      <c r="E438" s="828">
        <f t="shared" si="44"/>
        <v>100000</v>
      </c>
    </row>
    <row r="439" spans="1:5" ht="17.100000000000001" customHeight="1">
      <c r="A439" s="812"/>
      <c r="B439" s="1587"/>
      <c r="C439" s="1620" t="s">
        <v>765</v>
      </c>
      <c r="D439" s="1620"/>
      <c r="E439" s="841">
        <f>E440</f>
        <v>100000</v>
      </c>
    </row>
    <row r="440" spans="1:5" ht="17.100000000000001" customHeight="1" thickBot="1">
      <c r="A440" s="812"/>
      <c r="B440" s="1587"/>
      <c r="C440" s="920" t="s">
        <v>774</v>
      </c>
      <c r="D440" s="921" t="s">
        <v>775</v>
      </c>
      <c r="E440" s="828">
        <v>100000</v>
      </c>
    </row>
    <row r="441" spans="1:5" ht="17.100000000000001" customHeight="1" thickBot="1">
      <c r="A441" s="807" t="s">
        <v>273</v>
      </c>
      <c r="B441" s="808"/>
      <c r="C441" s="809"/>
      <c r="D441" s="810" t="s">
        <v>875</v>
      </c>
      <c r="E441" s="811">
        <f t="shared" ref="E441" si="45">E442</f>
        <v>30176969</v>
      </c>
    </row>
    <row r="442" spans="1:5" ht="17.100000000000001" customHeight="1" thickBot="1">
      <c r="A442" s="812"/>
      <c r="B442" s="858" t="s">
        <v>275</v>
      </c>
      <c r="C442" s="859"/>
      <c r="D442" s="860" t="s">
        <v>213</v>
      </c>
      <c r="E442" s="861">
        <f>E443+E455</f>
        <v>30176969</v>
      </c>
    </row>
    <row r="443" spans="1:5" ht="17.100000000000001" customHeight="1">
      <c r="A443" s="812"/>
      <c r="B443" s="1587"/>
      <c r="C443" s="1583" t="s">
        <v>753</v>
      </c>
      <c r="D443" s="1583"/>
      <c r="E443" s="817">
        <f t="shared" ref="E443" si="46">E444</f>
        <v>6113162</v>
      </c>
    </row>
    <row r="444" spans="1:5" ht="17.100000000000001" customHeight="1">
      <c r="A444" s="812"/>
      <c r="B444" s="1587"/>
      <c r="C444" s="1627" t="s">
        <v>754</v>
      </c>
      <c r="D444" s="1627"/>
      <c r="E444" s="828">
        <f>E445</f>
        <v>6113162</v>
      </c>
    </row>
    <row r="445" spans="1:5" ht="17.100000000000001" customHeight="1">
      <c r="A445" s="812"/>
      <c r="B445" s="1587"/>
      <c r="C445" s="1620" t="s">
        <v>765</v>
      </c>
      <c r="D445" s="1620"/>
      <c r="E445" s="841">
        <f>SUM(E446:E453)</f>
        <v>6113162</v>
      </c>
    </row>
    <row r="446" spans="1:5" ht="17.100000000000001" customHeight="1">
      <c r="A446" s="812"/>
      <c r="B446" s="1587"/>
      <c r="C446" s="920" t="s">
        <v>768</v>
      </c>
      <c r="D446" s="921" t="s">
        <v>769</v>
      </c>
      <c r="E446" s="828">
        <v>100000</v>
      </c>
    </row>
    <row r="447" spans="1:5" ht="17.100000000000001" customHeight="1">
      <c r="A447" s="812"/>
      <c r="B447" s="1587"/>
      <c r="C447" s="920" t="s">
        <v>772</v>
      </c>
      <c r="D447" s="921" t="s">
        <v>773</v>
      </c>
      <c r="E447" s="828">
        <v>16000</v>
      </c>
    </row>
    <row r="448" spans="1:5" ht="17.100000000000001" customHeight="1">
      <c r="A448" s="812"/>
      <c r="B448" s="1587"/>
      <c r="C448" s="920" t="s">
        <v>774</v>
      </c>
      <c r="D448" s="921" t="s">
        <v>775</v>
      </c>
      <c r="E448" s="828">
        <v>270000</v>
      </c>
    </row>
    <row r="449" spans="1:7" ht="17.100000000000001" customHeight="1">
      <c r="A449" s="812"/>
      <c r="B449" s="1587"/>
      <c r="C449" s="920" t="s">
        <v>517</v>
      </c>
      <c r="D449" s="921" t="s">
        <v>778</v>
      </c>
      <c r="E449" s="828">
        <v>603340</v>
      </c>
    </row>
    <row r="450" spans="1:7" ht="17.100000000000001" customHeight="1">
      <c r="A450" s="812"/>
      <c r="B450" s="1587"/>
      <c r="C450" s="920" t="s">
        <v>779</v>
      </c>
      <c r="D450" s="921" t="s">
        <v>780</v>
      </c>
      <c r="E450" s="828">
        <v>3000</v>
      </c>
      <c r="G450" s="940"/>
    </row>
    <row r="451" spans="1:7" ht="17.100000000000001" customHeight="1">
      <c r="A451" s="812"/>
      <c r="B451" s="1587"/>
      <c r="C451" s="920" t="s">
        <v>781</v>
      </c>
      <c r="D451" s="921" t="s">
        <v>782</v>
      </c>
      <c r="E451" s="828">
        <v>95000</v>
      </c>
    </row>
    <row r="452" spans="1:7" ht="17.100000000000001" customHeight="1">
      <c r="A452" s="812"/>
      <c r="B452" s="837"/>
      <c r="C452" s="941" t="s">
        <v>787</v>
      </c>
      <c r="D452" s="921" t="s">
        <v>788</v>
      </c>
      <c r="E452" s="828">
        <v>5000000</v>
      </c>
    </row>
    <row r="453" spans="1:7" ht="15.75" customHeight="1">
      <c r="A453" s="812"/>
      <c r="B453" s="837"/>
      <c r="C453" s="920" t="s">
        <v>799</v>
      </c>
      <c r="D453" s="921" t="s">
        <v>800</v>
      </c>
      <c r="E453" s="828">
        <v>25822</v>
      </c>
    </row>
    <row r="454" spans="1:7" ht="15.75" customHeight="1">
      <c r="A454" s="812"/>
      <c r="B454" s="837"/>
      <c r="C454" s="942"/>
      <c r="D454" s="943"/>
      <c r="E454" s="828"/>
    </row>
    <row r="455" spans="1:7" ht="15.75" customHeight="1">
      <c r="A455" s="812"/>
      <c r="B455" s="837"/>
      <c r="C455" s="1629" t="s">
        <v>804</v>
      </c>
      <c r="D455" s="1629"/>
      <c r="E455" s="832">
        <f>SUM(E456)</f>
        <v>24063807</v>
      </c>
    </row>
    <row r="456" spans="1:7" ht="15.75" customHeight="1">
      <c r="A456" s="812"/>
      <c r="B456" s="837"/>
      <c r="C456" s="1621" t="s">
        <v>805</v>
      </c>
      <c r="D456" s="1621"/>
      <c r="E456" s="828">
        <f>SUM(E457:E462)</f>
        <v>24063807</v>
      </c>
    </row>
    <row r="457" spans="1:7" ht="15.75" customHeight="1">
      <c r="A457" s="812"/>
      <c r="B457" s="837"/>
      <c r="C457" s="920" t="s">
        <v>405</v>
      </c>
      <c r="D457" s="921" t="s">
        <v>806</v>
      </c>
      <c r="E457" s="828">
        <f>137278-2000</f>
        <v>135278</v>
      </c>
    </row>
    <row r="458" spans="1:7" ht="15.75" customHeight="1">
      <c r="A458" s="812"/>
      <c r="B458" s="837"/>
      <c r="C458" s="920" t="s">
        <v>406</v>
      </c>
      <c r="D458" s="921" t="s">
        <v>806</v>
      </c>
      <c r="E458" s="828">
        <f>11701330+2161035-9361982</f>
        <v>4500383</v>
      </c>
    </row>
    <row r="459" spans="1:7" ht="15.75" customHeight="1">
      <c r="A459" s="812"/>
      <c r="B459" s="837"/>
      <c r="C459" s="920" t="s">
        <v>349</v>
      </c>
      <c r="D459" s="921" t="s">
        <v>806</v>
      </c>
      <c r="E459" s="828">
        <v>200439</v>
      </c>
    </row>
    <row r="460" spans="1:7" ht="18.75" customHeight="1">
      <c r="A460" s="812"/>
      <c r="B460" s="837"/>
      <c r="C460" s="920" t="s">
        <v>451</v>
      </c>
      <c r="D460" s="921" t="s">
        <v>806</v>
      </c>
      <c r="E460" s="828">
        <f>1985894+381360-1603467</f>
        <v>763787</v>
      </c>
    </row>
    <row r="461" spans="1:7" ht="51">
      <c r="A461" s="812"/>
      <c r="B461" s="837"/>
      <c r="C461" s="925" t="s">
        <v>876</v>
      </c>
      <c r="D461" s="938" t="s">
        <v>838</v>
      </c>
      <c r="E461" s="828">
        <f>31191753-12877833</f>
        <v>18313920</v>
      </c>
    </row>
    <row r="462" spans="1:7" ht="40.5" customHeight="1">
      <c r="A462" s="812"/>
      <c r="B462" s="837"/>
      <c r="C462" s="920" t="s">
        <v>861</v>
      </c>
      <c r="D462" s="921" t="s">
        <v>862</v>
      </c>
      <c r="E462" s="828">
        <v>150000</v>
      </c>
    </row>
    <row r="463" spans="1:7" ht="15.75" customHeight="1">
      <c r="A463" s="812"/>
      <c r="B463" s="837"/>
      <c r="C463" s="1631"/>
      <c r="D463" s="1631"/>
      <c r="E463" s="935"/>
    </row>
    <row r="464" spans="1:7" ht="15.75" customHeight="1">
      <c r="A464" s="812"/>
      <c r="B464" s="837"/>
      <c r="C464" s="1620" t="s">
        <v>811</v>
      </c>
      <c r="D464" s="1632"/>
      <c r="E464" s="944">
        <f>SUM(E465:E469)</f>
        <v>23778529</v>
      </c>
    </row>
    <row r="465" spans="1:5" ht="15.75" hidden="1" customHeight="1">
      <c r="A465" s="812"/>
      <c r="B465" s="837"/>
      <c r="C465" s="920" t="s">
        <v>405</v>
      </c>
      <c r="D465" s="921" t="s">
        <v>806</v>
      </c>
      <c r="E465" s="935">
        <f>2000-2000</f>
        <v>0</v>
      </c>
    </row>
    <row r="466" spans="1:5" ht="15.75" customHeight="1">
      <c r="A466" s="812"/>
      <c r="B466" s="837"/>
      <c r="C466" s="920" t="s">
        <v>406</v>
      </c>
      <c r="D466" s="921" t="s">
        <v>806</v>
      </c>
      <c r="E466" s="935">
        <f>11701330+2161035-9361982</f>
        <v>4500383</v>
      </c>
    </row>
    <row r="467" spans="1:5" ht="15.75" customHeight="1">
      <c r="A467" s="812"/>
      <c r="B467" s="837"/>
      <c r="C467" s="920" t="s">
        <v>349</v>
      </c>
      <c r="D467" s="921" t="s">
        <v>806</v>
      </c>
      <c r="E467" s="935">
        <v>200439</v>
      </c>
    </row>
    <row r="468" spans="1:5" ht="15.75" customHeight="1">
      <c r="A468" s="812"/>
      <c r="B468" s="837"/>
      <c r="C468" s="920" t="s">
        <v>451</v>
      </c>
      <c r="D468" s="921" t="s">
        <v>806</v>
      </c>
      <c r="E468" s="935">
        <f>1985894+381360-1603467</f>
        <v>763787</v>
      </c>
    </row>
    <row r="469" spans="1:5" ht="51.75" thickBot="1">
      <c r="A469" s="812"/>
      <c r="B469" s="837"/>
      <c r="C469" s="925" t="s">
        <v>876</v>
      </c>
      <c r="D469" s="938" t="s">
        <v>838</v>
      </c>
      <c r="E469" s="945">
        <f>31191753-12877833</f>
        <v>18313920</v>
      </c>
    </row>
    <row r="470" spans="1:5" ht="17.100000000000001" customHeight="1" thickBot="1">
      <c r="A470" s="807" t="s">
        <v>454</v>
      </c>
      <c r="B470" s="808"/>
      <c r="C470" s="809"/>
      <c r="D470" s="810" t="s">
        <v>877</v>
      </c>
      <c r="E470" s="811">
        <f>E471</f>
        <v>1412366</v>
      </c>
    </row>
    <row r="471" spans="1:5" ht="17.100000000000001" customHeight="1" thickBot="1">
      <c r="A471" s="812"/>
      <c r="B471" s="858" t="s">
        <v>409</v>
      </c>
      <c r="C471" s="859"/>
      <c r="D471" s="860" t="s">
        <v>213</v>
      </c>
      <c r="E471" s="861">
        <f>SUM(E472+E502)</f>
        <v>1412366</v>
      </c>
    </row>
    <row r="472" spans="1:5" ht="17.100000000000001" customHeight="1">
      <c r="A472" s="812"/>
      <c r="B472" s="1587"/>
      <c r="C472" s="1583" t="s">
        <v>753</v>
      </c>
      <c r="D472" s="1583"/>
      <c r="E472" s="817">
        <f t="shared" ref="E472" si="47">E473</f>
        <v>1187103</v>
      </c>
    </row>
    <row r="473" spans="1:5" ht="17.100000000000001" customHeight="1">
      <c r="A473" s="812"/>
      <c r="B473" s="1587"/>
      <c r="C473" s="1627" t="s">
        <v>813</v>
      </c>
      <c r="D473" s="1627"/>
      <c r="E473" s="828">
        <f>SUM(E474:E500)</f>
        <v>1187103</v>
      </c>
    </row>
    <row r="474" spans="1:5" ht="17.100000000000001" customHeight="1">
      <c r="A474" s="812"/>
      <c r="B474" s="837"/>
      <c r="C474" s="946" t="s">
        <v>362</v>
      </c>
      <c r="D474" s="921" t="s">
        <v>756</v>
      </c>
      <c r="E474" s="828">
        <v>66620</v>
      </c>
    </row>
    <row r="475" spans="1:5" ht="17.100000000000001" customHeight="1">
      <c r="A475" s="812"/>
      <c r="B475" s="837"/>
      <c r="C475" s="946" t="s">
        <v>363</v>
      </c>
      <c r="D475" s="921" t="s">
        <v>756</v>
      </c>
      <c r="E475" s="828">
        <v>11757</v>
      </c>
    </row>
    <row r="476" spans="1:5" ht="17.100000000000001" customHeight="1">
      <c r="A476" s="812"/>
      <c r="B476" s="837"/>
      <c r="C476" s="946" t="s">
        <v>364</v>
      </c>
      <c r="D476" s="921" t="s">
        <v>758</v>
      </c>
      <c r="E476" s="828">
        <v>10428</v>
      </c>
    </row>
    <row r="477" spans="1:5" ht="17.100000000000001" customHeight="1">
      <c r="A477" s="812"/>
      <c r="B477" s="837"/>
      <c r="C477" s="946" t="s">
        <v>365</v>
      </c>
      <c r="D477" s="921" t="s">
        <v>758</v>
      </c>
      <c r="E477" s="828">
        <v>1840</v>
      </c>
    </row>
    <row r="478" spans="1:5" ht="17.100000000000001" customHeight="1">
      <c r="A478" s="812"/>
      <c r="B478" s="837"/>
      <c r="C478" s="946" t="s">
        <v>336</v>
      </c>
      <c r="D478" s="921" t="s">
        <v>760</v>
      </c>
      <c r="E478" s="828">
        <v>14049</v>
      </c>
    </row>
    <row r="479" spans="1:5" ht="17.100000000000001" customHeight="1">
      <c r="A479" s="812"/>
      <c r="B479" s="837"/>
      <c r="C479" s="946" t="s">
        <v>337</v>
      </c>
      <c r="D479" s="921" t="s">
        <v>760</v>
      </c>
      <c r="E479" s="828">
        <v>2480</v>
      </c>
    </row>
    <row r="480" spans="1:5" ht="17.100000000000001" customHeight="1">
      <c r="A480" s="812"/>
      <c r="B480" s="837"/>
      <c r="C480" s="946" t="s">
        <v>366</v>
      </c>
      <c r="D480" s="921" t="s">
        <v>762</v>
      </c>
      <c r="E480" s="828">
        <v>2292</v>
      </c>
    </row>
    <row r="481" spans="1:5" ht="17.100000000000001" customHeight="1">
      <c r="A481" s="812"/>
      <c r="B481" s="837"/>
      <c r="C481" s="946" t="s">
        <v>367</v>
      </c>
      <c r="D481" s="921" t="s">
        <v>762</v>
      </c>
      <c r="E481" s="828">
        <v>404</v>
      </c>
    </row>
    <row r="482" spans="1:5" ht="17.100000000000001" customHeight="1">
      <c r="A482" s="812"/>
      <c r="B482" s="820"/>
      <c r="C482" s="920" t="s">
        <v>410</v>
      </c>
      <c r="D482" s="921" t="s">
        <v>764</v>
      </c>
      <c r="E482" s="828">
        <v>200000</v>
      </c>
    </row>
    <row r="483" spans="1:5" ht="17.100000000000001" customHeight="1">
      <c r="A483" s="812"/>
      <c r="B483" s="820"/>
      <c r="C483" s="920" t="s">
        <v>338</v>
      </c>
      <c r="D483" s="921" t="s">
        <v>764</v>
      </c>
      <c r="E483" s="828">
        <v>4250</v>
      </c>
    </row>
    <row r="484" spans="1:5" ht="17.100000000000001" customHeight="1">
      <c r="A484" s="812"/>
      <c r="B484" s="820"/>
      <c r="C484" s="920" t="s">
        <v>339</v>
      </c>
      <c r="D484" s="921" t="s">
        <v>764</v>
      </c>
      <c r="E484" s="828">
        <v>750</v>
      </c>
    </row>
    <row r="485" spans="1:5" ht="17.100000000000001" customHeight="1">
      <c r="A485" s="812"/>
      <c r="B485" s="820"/>
      <c r="C485" s="920" t="s">
        <v>411</v>
      </c>
      <c r="D485" s="921" t="s">
        <v>769</v>
      </c>
      <c r="E485" s="828">
        <v>20000</v>
      </c>
    </row>
    <row r="486" spans="1:5" ht="17.100000000000001" customHeight="1">
      <c r="A486" s="812"/>
      <c r="B486" s="820"/>
      <c r="C486" s="920" t="s">
        <v>341</v>
      </c>
      <c r="D486" s="921" t="s">
        <v>769</v>
      </c>
      <c r="E486" s="828">
        <v>10398</v>
      </c>
    </row>
    <row r="487" spans="1:5" ht="17.100000000000001" customHeight="1">
      <c r="A487" s="812"/>
      <c r="B487" s="820"/>
      <c r="C487" s="920" t="s">
        <v>342</v>
      </c>
      <c r="D487" s="921" t="s">
        <v>769</v>
      </c>
      <c r="E487" s="828">
        <v>1835</v>
      </c>
    </row>
    <row r="488" spans="1:5" ht="17.100000000000001" customHeight="1">
      <c r="A488" s="812"/>
      <c r="B488" s="820"/>
      <c r="C488" s="920" t="s">
        <v>394</v>
      </c>
      <c r="D488" s="921" t="s">
        <v>778</v>
      </c>
      <c r="E488" s="828">
        <v>360000</v>
      </c>
    </row>
    <row r="489" spans="1:5" ht="17.100000000000001" customHeight="1">
      <c r="A489" s="812"/>
      <c r="B489" s="820"/>
      <c r="C489" s="920" t="s">
        <v>343</v>
      </c>
      <c r="D489" s="921" t="s">
        <v>778</v>
      </c>
      <c r="E489" s="828">
        <v>12750</v>
      </c>
    </row>
    <row r="490" spans="1:5" ht="17.100000000000001" customHeight="1">
      <c r="A490" s="812"/>
      <c r="B490" s="820"/>
      <c r="C490" s="920" t="s">
        <v>344</v>
      </c>
      <c r="D490" s="921" t="s">
        <v>778</v>
      </c>
      <c r="E490" s="828">
        <v>2250</v>
      </c>
    </row>
    <row r="491" spans="1:5" ht="16.5" customHeight="1">
      <c r="A491" s="812"/>
      <c r="B491" s="820"/>
      <c r="C491" s="920" t="s">
        <v>412</v>
      </c>
      <c r="D491" s="921" t="s">
        <v>878</v>
      </c>
      <c r="E491" s="828">
        <v>100000</v>
      </c>
    </row>
    <row r="492" spans="1:5" ht="16.5" customHeight="1">
      <c r="A492" s="812"/>
      <c r="B492" s="820"/>
      <c r="C492" s="920" t="s">
        <v>358</v>
      </c>
      <c r="D492" s="921" t="s">
        <v>878</v>
      </c>
      <c r="E492" s="828">
        <v>4250</v>
      </c>
    </row>
    <row r="493" spans="1:5" ht="16.5" customHeight="1">
      <c r="A493" s="812"/>
      <c r="B493" s="820"/>
      <c r="C493" s="920" t="s">
        <v>359</v>
      </c>
      <c r="D493" s="921" t="s">
        <v>878</v>
      </c>
      <c r="E493" s="828">
        <v>750</v>
      </c>
    </row>
    <row r="494" spans="1:5" ht="16.5" customHeight="1">
      <c r="A494" s="812"/>
      <c r="B494" s="820"/>
      <c r="C494" s="920" t="s">
        <v>352</v>
      </c>
      <c r="D494" s="921" t="s">
        <v>782</v>
      </c>
      <c r="E494" s="828">
        <v>4250</v>
      </c>
    </row>
    <row r="495" spans="1:5" ht="16.5" customHeight="1">
      <c r="A495" s="812"/>
      <c r="B495" s="820"/>
      <c r="C495" s="920" t="s">
        <v>353</v>
      </c>
      <c r="D495" s="921" t="s">
        <v>782</v>
      </c>
      <c r="E495" s="828">
        <v>750</v>
      </c>
    </row>
    <row r="496" spans="1:5" ht="17.100000000000001" customHeight="1">
      <c r="A496" s="812"/>
      <c r="B496" s="820"/>
      <c r="C496" s="920" t="s">
        <v>395</v>
      </c>
      <c r="D496" s="921" t="s">
        <v>786</v>
      </c>
      <c r="E496" s="828">
        <v>50000</v>
      </c>
    </row>
    <row r="497" spans="1:5" ht="17.100000000000001" customHeight="1">
      <c r="A497" s="812"/>
      <c r="B497" s="820"/>
      <c r="C497" s="925" t="s">
        <v>413</v>
      </c>
      <c r="D497" s="926" t="s">
        <v>854</v>
      </c>
      <c r="E497" s="828">
        <v>200000</v>
      </c>
    </row>
    <row r="498" spans="1:5" ht="17.100000000000001" customHeight="1">
      <c r="A498" s="812"/>
      <c r="B498" s="820"/>
      <c r="C498" s="920" t="s">
        <v>376</v>
      </c>
      <c r="D498" s="926" t="s">
        <v>854</v>
      </c>
      <c r="E498" s="828">
        <v>21250</v>
      </c>
    </row>
    <row r="499" spans="1:5" ht="17.100000000000001" customHeight="1">
      <c r="A499" s="812"/>
      <c r="B499" s="820"/>
      <c r="C499" s="920" t="s">
        <v>377</v>
      </c>
      <c r="D499" s="926" t="s">
        <v>854</v>
      </c>
      <c r="E499" s="828">
        <v>3750</v>
      </c>
    </row>
    <row r="500" spans="1:5" ht="17.100000000000001" customHeight="1">
      <c r="A500" s="812"/>
      <c r="B500" s="820"/>
      <c r="C500" s="925" t="s">
        <v>396</v>
      </c>
      <c r="D500" s="926" t="s">
        <v>800</v>
      </c>
      <c r="E500" s="927">
        <v>80000</v>
      </c>
    </row>
    <row r="501" spans="1:5" ht="17.100000000000001" customHeight="1">
      <c r="A501" s="812"/>
      <c r="B501" s="820"/>
      <c r="C501" s="1633"/>
      <c r="D501" s="1634"/>
      <c r="E501" s="828"/>
    </row>
    <row r="502" spans="1:5" ht="17.100000000000001" customHeight="1">
      <c r="A502" s="812"/>
      <c r="B502" s="820"/>
      <c r="C502" s="1635" t="s">
        <v>804</v>
      </c>
      <c r="D502" s="1636"/>
      <c r="E502" s="947">
        <f>E503</f>
        <v>225263</v>
      </c>
    </row>
    <row r="503" spans="1:5" ht="17.100000000000001" customHeight="1">
      <c r="A503" s="812"/>
      <c r="B503" s="820"/>
      <c r="C503" s="1637" t="s">
        <v>805</v>
      </c>
      <c r="D503" s="1638"/>
      <c r="E503" s="948">
        <f>SUM(E504)</f>
        <v>225263</v>
      </c>
    </row>
    <row r="504" spans="1:5" ht="17.100000000000001" customHeight="1">
      <c r="A504" s="812"/>
      <c r="B504" s="820"/>
      <c r="C504" s="949" t="s">
        <v>406</v>
      </c>
      <c r="D504" s="950" t="s">
        <v>806</v>
      </c>
      <c r="E504" s="948">
        <v>225263</v>
      </c>
    </row>
    <row r="505" spans="1:5" ht="17.100000000000001" customHeight="1">
      <c r="A505" s="812"/>
      <c r="B505" s="820"/>
      <c r="C505" s="951"/>
      <c r="D505" s="952"/>
      <c r="E505" s="953"/>
    </row>
    <row r="506" spans="1:5" ht="17.100000000000001" customHeight="1">
      <c r="A506" s="812"/>
      <c r="B506" s="820"/>
      <c r="C506" s="1620" t="s">
        <v>811</v>
      </c>
      <c r="D506" s="1632"/>
      <c r="E506" s="828">
        <f>E507</f>
        <v>225263</v>
      </c>
    </row>
    <row r="507" spans="1:5" ht="17.100000000000001" customHeight="1" thickBot="1">
      <c r="A507" s="812"/>
      <c r="B507" s="820"/>
      <c r="C507" s="920" t="s">
        <v>406</v>
      </c>
      <c r="D507" s="921" t="s">
        <v>806</v>
      </c>
      <c r="E507" s="828">
        <v>225263</v>
      </c>
    </row>
    <row r="508" spans="1:5" ht="17.100000000000001" customHeight="1" thickBot="1">
      <c r="A508" s="807" t="s">
        <v>4</v>
      </c>
      <c r="B508" s="808"/>
      <c r="C508" s="809"/>
      <c r="D508" s="810" t="s">
        <v>879</v>
      </c>
      <c r="E508" s="811">
        <f>SUM(E509,E520,E538,E628,E639,E695,E710)</f>
        <v>154012755</v>
      </c>
    </row>
    <row r="509" spans="1:5" ht="17.100000000000001" customHeight="1" thickBot="1">
      <c r="A509" s="812"/>
      <c r="B509" s="858" t="s">
        <v>230</v>
      </c>
      <c r="C509" s="859"/>
      <c r="D509" s="860" t="s">
        <v>231</v>
      </c>
      <c r="E509" s="861">
        <f t="shared" ref="E509:E510" si="48">E510</f>
        <v>1129275</v>
      </c>
    </row>
    <row r="510" spans="1:5" ht="17.100000000000001" customHeight="1">
      <c r="A510" s="812"/>
      <c r="B510" s="1587"/>
      <c r="C510" s="1583" t="s">
        <v>753</v>
      </c>
      <c r="D510" s="1583"/>
      <c r="E510" s="817">
        <f t="shared" si="48"/>
        <v>1129275</v>
      </c>
    </row>
    <row r="511" spans="1:5" ht="17.100000000000001" customHeight="1">
      <c r="A511" s="812"/>
      <c r="B511" s="1587"/>
      <c r="C511" s="1627" t="s">
        <v>754</v>
      </c>
      <c r="D511" s="1627"/>
      <c r="E511" s="828">
        <f>E512+E518</f>
        <v>1129275</v>
      </c>
    </row>
    <row r="512" spans="1:5" ht="17.100000000000001" customHeight="1">
      <c r="A512" s="812"/>
      <c r="B512" s="1587"/>
      <c r="C512" s="1628" t="s">
        <v>755</v>
      </c>
      <c r="D512" s="1628"/>
      <c r="E512" s="841">
        <f>SUM(E513:E516)</f>
        <v>1107812</v>
      </c>
    </row>
    <row r="513" spans="1:5" ht="17.100000000000001" customHeight="1">
      <c r="A513" s="812"/>
      <c r="B513" s="1587"/>
      <c r="C513" s="920" t="s">
        <v>538</v>
      </c>
      <c r="D513" s="921" t="s">
        <v>756</v>
      </c>
      <c r="E513" s="828">
        <v>860790</v>
      </c>
    </row>
    <row r="514" spans="1:5" ht="17.100000000000001" customHeight="1">
      <c r="A514" s="812"/>
      <c r="B514" s="1587"/>
      <c r="C514" s="920" t="s">
        <v>757</v>
      </c>
      <c r="D514" s="921" t="s">
        <v>758</v>
      </c>
      <c r="E514" s="828">
        <v>61192</v>
      </c>
    </row>
    <row r="515" spans="1:5" ht="17.100000000000001" customHeight="1">
      <c r="A515" s="812"/>
      <c r="B515" s="820"/>
      <c r="C515" s="920" t="s">
        <v>759</v>
      </c>
      <c r="D515" s="921" t="s">
        <v>760</v>
      </c>
      <c r="E515" s="828">
        <v>182830</v>
      </c>
    </row>
    <row r="516" spans="1:5">
      <c r="A516" s="812"/>
      <c r="B516" s="820"/>
      <c r="C516" s="920" t="s">
        <v>763</v>
      </c>
      <c r="D516" s="921" t="s">
        <v>764</v>
      </c>
      <c r="E516" s="828">
        <v>3000</v>
      </c>
    </row>
    <row r="517" spans="1:5" ht="17.100000000000001" customHeight="1">
      <c r="A517" s="812"/>
      <c r="B517" s="820"/>
      <c r="C517" s="838"/>
      <c r="D517" s="838"/>
      <c r="E517" s="825"/>
    </row>
    <row r="518" spans="1:5" ht="17.100000000000001" customHeight="1">
      <c r="A518" s="812"/>
      <c r="B518" s="820"/>
      <c r="C518" s="1620" t="s">
        <v>765</v>
      </c>
      <c r="D518" s="1620"/>
      <c r="E518" s="841">
        <f>SUM(E519:E519)</f>
        <v>21463</v>
      </c>
    </row>
    <row r="519" spans="1:5" ht="17.100000000000001" customHeight="1" thickBot="1">
      <c r="A519" s="812"/>
      <c r="B519" s="820"/>
      <c r="C519" s="920" t="s">
        <v>766</v>
      </c>
      <c r="D519" s="921" t="s">
        <v>767</v>
      </c>
      <c r="E519" s="828">
        <v>21463</v>
      </c>
    </row>
    <row r="520" spans="1:5" ht="17.100000000000001" customHeight="1" thickBot="1">
      <c r="A520" s="812"/>
      <c r="B520" s="858" t="s">
        <v>880</v>
      </c>
      <c r="C520" s="859"/>
      <c r="D520" s="860" t="s">
        <v>881</v>
      </c>
      <c r="E520" s="861">
        <f>E521+E535</f>
        <v>1210000</v>
      </c>
    </row>
    <row r="521" spans="1:5" ht="17.100000000000001" customHeight="1">
      <c r="A521" s="812"/>
      <c r="B521" s="820"/>
      <c r="C521" s="1583" t="s">
        <v>753</v>
      </c>
      <c r="D521" s="1583"/>
      <c r="E521" s="817">
        <f t="shared" ref="E521" si="49">E522+E532</f>
        <v>1070000</v>
      </c>
    </row>
    <row r="522" spans="1:5" ht="17.100000000000001" customHeight="1">
      <c r="A522" s="812"/>
      <c r="B522" s="820"/>
      <c r="C522" s="1627" t="s">
        <v>754</v>
      </c>
      <c r="D522" s="1627"/>
      <c r="E522" s="828">
        <f t="shared" ref="E522" si="50">E523+E526</f>
        <v>170000</v>
      </c>
    </row>
    <row r="523" spans="1:5" ht="17.100000000000001" customHeight="1">
      <c r="A523" s="812"/>
      <c r="B523" s="820"/>
      <c r="C523" s="1628" t="s">
        <v>755</v>
      </c>
      <c r="D523" s="1628"/>
      <c r="E523" s="841">
        <f t="shared" ref="E523" si="51">E524</f>
        <v>5000</v>
      </c>
    </row>
    <row r="524" spans="1:5" ht="17.100000000000001" customHeight="1">
      <c r="A524" s="812"/>
      <c r="B524" s="820"/>
      <c r="C524" s="920" t="s">
        <v>763</v>
      </c>
      <c r="D524" s="921" t="s">
        <v>764</v>
      </c>
      <c r="E524" s="828">
        <v>5000</v>
      </c>
    </row>
    <row r="525" spans="1:5" ht="17.100000000000001" customHeight="1">
      <c r="A525" s="812"/>
      <c r="B525" s="820"/>
      <c r="C525" s="838"/>
      <c r="D525" s="838"/>
      <c r="E525" s="825"/>
    </row>
    <row r="526" spans="1:5" ht="17.100000000000001" customHeight="1">
      <c r="A526" s="812"/>
      <c r="B526" s="820"/>
      <c r="C526" s="1620" t="s">
        <v>765</v>
      </c>
      <c r="D526" s="1620"/>
      <c r="E526" s="841">
        <f t="shared" ref="E526" si="52">SUM(E527:E530)</f>
        <v>165000</v>
      </c>
    </row>
    <row r="527" spans="1:5" ht="17.100000000000001" customHeight="1">
      <c r="A527" s="812"/>
      <c r="B527" s="820"/>
      <c r="C527" s="920" t="s">
        <v>768</v>
      </c>
      <c r="D527" s="921" t="s">
        <v>769</v>
      </c>
      <c r="E527" s="828">
        <v>40000</v>
      </c>
    </row>
    <row r="528" spans="1:5" ht="17.100000000000001" customHeight="1">
      <c r="A528" s="812"/>
      <c r="B528" s="820"/>
      <c r="C528" s="920" t="s">
        <v>770</v>
      </c>
      <c r="D528" s="921" t="s">
        <v>771</v>
      </c>
      <c r="E528" s="828">
        <v>10000</v>
      </c>
    </row>
    <row r="529" spans="1:5" ht="17.100000000000001" customHeight="1">
      <c r="A529" s="812"/>
      <c r="B529" s="820"/>
      <c r="C529" s="920" t="s">
        <v>517</v>
      </c>
      <c r="D529" s="921" t="s">
        <v>778</v>
      </c>
      <c r="E529" s="828">
        <v>110000</v>
      </c>
    </row>
    <row r="530" spans="1:5" ht="17.100000000000001" customHeight="1">
      <c r="A530" s="812"/>
      <c r="B530" s="820"/>
      <c r="C530" s="920" t="s">
        <v>779</v>
      </c>
      <c r="D530" s="921" t="s">
        <v>780</v>
      </c>
      <c r="E530" s="828">
        <v>5000</v>
      </c>
    </row>
    <row r="531" spans="1:5" ht="17.100000000000001" customHeight="1">
      <c r="A531" s="812"/>
      <c r="B531" s="820"/>
      <c r="C531" s="838"/>
      <c r="D531" s="838"/>
      <c r="E531" s="825"/>
    </row>
    <row r="532" spans="1:5" ht="17.100000000000001" customHeight="1">
      <c r="A532" s="812"/>
      <c r="B532" s="820"/>
      <c r="C532" s="1621" t="s">
        <v>801</v>
      </c>
      <c r="D532" s="1621"/>
      <c r="E532" s="828">
        <f t="shared" ref="E532" si="53">E533</f>
        <v>900000</v>
      </c>
    </row>
    <row r="533" spans="1:5" ht="17.100000000000001" customHeight="1">
      <c r="A533" s="812"/>
      <c r="B533" s="820"/>
      <c r="C533" s="925" t="s">
        <v>882</v>
      </c>
      <c r="D533" s="926" t="s">
        <v>883</v>
      </c>
      <c r="E533" s="927">
        <v>900000</v>
      </c>
    </row>
    <row r="534" spans="1:5" ht="17.100000000000001" customHeight="1">
      <c r="A534" s="812"/>
      <c r="B534" s="820"/>
      <c r="C534" s="1633"/>
      <c r="D534" s="1634"/>
      <c r="E534" s="927"/>
    </row>
    <row r="535" spans="1:5" ht="17.100000000000001" customHeight="1">
      <c r="A535" s="812"/>
      <c r="B535" s="820"/>
      <c r="C535" s="1635" t="s">
        <v>804</v>
      </c>
      <c r="D535" s="1636"/>
      <c r="E535" s="947">
        <f>E536</f>
        <v>140000</v>
      </c>
    </row>
    <row r="536" spans="1:5" ht="17.100000000000001" customHeight="1">
      <c r="A536" s="812"/>
      <c r="B536" s="820"/>
      <c r="C536" s="1637" t="s">
        <v>805</v>
      </c>
      <c r="D536" s="1638"/>
      <c r="E536" s="948">
        <f>SUM(E537)</f>
        <v>140000</v>
      </c>
    </row>
    <row r="537" spans="1:5" ht="17.100000000000001" customHeight="1" thickBot="1">
      <c r="A537" s="812"/>
      <c r="B537" s="820"/>
      <c r="C537" s="954" t="s">
        <v>401</v>
      </c>
      <c r="D537" s="955" t="s">
        <v>819</v>
      </c>
      <c r="E537" s="956">
        <v>140000</v>
      </c>
    </row>
    <row r="538" spans="1:5" ht="17.100000000000001" customHeight="1" thickBot="1">
      <c r="A538" s="812"/>
      <c r="B538" s="858" t="s">
        <v>333</v>
      </c>
      <c r="C538" s="859"/>
      <c r="D538" s="860" t="s">
        <v>646</v>
      </c>
      <c r="E538" s="861">
        <f>E539+E614</f>
        <v>116887055</v>
      </c>
    </row>
    <row r="539" spans="1:5" ht="17.100000000000001" customHeight="1">
      <c r="A539" s="812"/>
      <c r="B539" s="820"/>
      <c r="C539" s="1593" t="s">
        <v>323</v>
      </c>
      <c r="D539" s="1593"/>
      <c r="E539" s="817">
        <f t="shared" ref="E539" si="54">E540+E570+E573</f>
        <v>85876980</v>
      </c>
    </row>
    <row r="540" spans="1:5" ht="17.100000000000001" customHeight="1">
      <c r="A540" s="812"/>
      <c r="B540" s="820"/>
      <c r="C540" s="1627" t="s">
        <v>754</v>
      </c>
      <c r="D540" s="1627"/>
      <c r="E540" s="868">
        <f t="shared" ref="E540" si="55">E541+E548</f>
        <v>51721616</v>
      </c>
    </row>
    <row r="541" spans="1:5" ht="17.100000000000001" customHeight="1">
      <c r="A541" s="812"/>
      <c r="B541" s="820"/>
      <c r="C541" s="1628" t="s">
        <v>755</v>
      </c>
      <c r="D541" s="1628"/>
      <c r="E541" s="899">
        <f t="shared" ref="E541" si="56">SUM(E542:E546)</f>
        <v>42722986</v>
      </c>
    </row>
    <row r="542" spans="1:5" ht="17.100000000000001" customHeight="1">
      <c r="A542" s="812"/>
      <c r="B542" s="820"/>
      <c r="C542" s="920" t="s">
        <v>538</v>
      </c>
      <c r="D542" s="921" t="s">
        <v>756</v>
      </c>
      <c r="E542" s="828">
        <v>33099557</v>
      </c>
    </row>
    <row r="543" spans="1:5" ht="17.100000000000001" customHeight="1">
      <c r="A543" s="812"/>
      <c r="B543" s="820"/>
      <c r="C543" s="920" t="s">
        <v>757</v>
      </c>
      <c r="D543" s="921" t="s">
        <v>758</v>
      </c>
      <c r="E543" s="828">
        <v>2617006</v>
      </c>
    </row>
    <row r="544" spans="1:5" ht="17.100000000000001" customHeight="1">
      <c r="A544" s="812"/>
      <c r="B544" s="820"/>
      <c r="C544" s="920" t="s">
        <v>759</v>
      </c>
      <c r="D544" s="921" t="s">
        <v>760</v>
      </c>
      <c r="E544" s="828">
        <v>6096956</v>
      </c>
    </row>
    <row r="545" spans="1:5" ht="17.100000000000001" customHeight="1">
      <c r="A545" s="812"/>
      <c r="B545" s="820"/>
      <c r="C545" s="920" t="s">
        <v>761</v>
      </c>
      <c r="D545" s="921" t="s">
        <v>762</v>
      </c>
      <c r="E545" s="828">
        <v>859467</v>
      </c>
    </row>
    <row r="546" spans="1:5" ht="17.100000000000001" customHeight="1">
      <c r="A546" s="812"/>
      <c r="B546" s="820"/>
      <c r="C546" s="920" t="s">
        <v>763</v>
      </c>
      <c r="D546" s="921" t="s">
        <v>764</v>
      </c>
      <c r="E546" s="828">
        <v>50000</v>
      </c>
    </row>
    <row r="547" spans="1:5" ht="17.100000000000001" customHeight="1">
      <c r="A547" s="812"/>
      <c r="B547" s="820"/>
      <c r="C547" s="838"/>
      <c r="D547" s="838"/>
      <c r="E547" s="825"/>
    </row>
    <row r="548" spans="1:5" ht="17.100000000000001" customHeight="1">
      <c r="A548" s="812"/>
      <c r="B548" s="820"/>
      <c r="C548" s="1639" t="s">
        <v>765</v>
      </c>
      <c r="D548" s="1639"/>
      <c r="E548" s="841">
        <f t="shared" ref="E548" si="57">SUM(E549:E568)</f>
        <v>8998630</v>
      </c>
    </row>
    <row r="549" spans="1:5" ht="17.100000000000001" customHeight="1">
      <c r="A549" s="812"/>
      <c r="B549" s="820"/>
      <c r="C549" s="957" t="s">
        <v>766</v>
      </c>
      <c r="D549" s="921" t="s">
        <v>767</v>
      </c>
      <c r="E549" s="868">
        <v>495000</v>
      </c>
    </row>
    <row r="550" spans="1:5" ht="17.100000000000001" customHeight="1">
      <c r="A550" s="812"/>
      <c r="B550" s="820"/>
      <c r="C550" s="920" t="s">
        <v>768</v>
      </c>
      <c r="D550" s="921" t="s">
        <v>769</v>
      </c>
      <c r="E550" s="868">
        <f>2430000+30000</f>
        <v>2460000</v>
      </c>
    </row>
    <row r="551" spans="1:5" ht="17.100000000000001" customHeight="1">
      <c r="A551" s="812"/>
      <c r="B551" s="820"/>
      <c r="C551" s="920" t="s">
        <v>770</v>
      </c>
      <c r="D551" s="921" t="s">
        <v>771</v>
      </c>
      <c r="E551" s="868">
        <v>80000</v>
      </c>
    </row>
    <row r="552" spans="1:5" ht="17.100000000000001" customHeight="1">
      <c r="A552" s="812"/>
      <c r="B552" s="820"/>
      <c r="C552" s="920" t="s">
        <v>772</v>
      </c>
      <c r="D552" s="921" t="s">
        <v>773</v>
      </c>
      <c r="E552" s="868">
        <v>1225000</v>
      </c>
    </row>
    <row r="553" spans="1:5" ht="17.100000000000001" customHeight="1">
      <c r="A553" s="812"/>
      <c r="B553" s="820"/>
      <c r="C553" s="920" t="s">
        <v>774</v>
      </c>
      <c r="D553" s="921" t="s">
        <v>775</v>
      </c>
      <c r="E553" s="868">
        <v>521500</v>
      </c>
    </row>
    <row r="554" spans="1:5" ht="17.100000000000001" customHeight="1">
      <c r="A554" s="812"/>
      <c r="B554" s="820"/>
      <c r="C554" s="920" t="s">
        <v>776</v>
      </c>
      <c r="D554" s="921" t="s">
        <v>777</v>
      </c>
      <c r="E554" s="868">
        <v>60000</v>
      </c>
    </row>
    <row r="555" spans="1:5" ht="17.100000000000001" customHeight="1">
      <c r="A555" s="812"/>
      <c r="B555" s="820"/>
      <c r="C555" s="920" t="s">
        <v>517</v>
      </c>
      <c r="D555" s="921" t="s">
        <v>778</v>
      </c>
      <c r="E555" s="868">
        <f>1261650+50000</f>
        <v>1311650</v>
      </c>
    </row>
    <row r="556" spans="1:5" ht="16.5" customHeight="1">
      <c r="A556" s="812"/>
      <c r="B556" s="820"/>
      <c r="C556" s="920" t="s">
        <v>779</v>
      </c>
      <c r="D556" s="921" t="s">
        <v>780</v>
      </c>
      <c r="E556" s="868">
        <v>190000</v>
      </c>
    </row>
    <row r="557" spans="1:5" ht="17.100000000000001" customHeight="1">
      <c r="A557" s="812"/>
      <c r="B557" s="820"/>
      <c r="C557" s="920" t="s">
        <v>884</v>
      </c>
      <c r="D557" s="921" t="s">
        <v>878</v>
      </c>
      <c r="E557" s="868">
        <v>10000</v>
      </c>
    </row>
    <row r="558" spans="1:5" ht="17.100000000000001" customHeight="1">
      <c r="A558" s="812"/>
      <c r="B558" s="820"/>
      <c r="C558" s="920" t="s">
        <v>781</v>
      </c>
      <c r="D558" s="921" t="s">
        <v>782</v>
      </c>
      <c r="E558" s="868">
        <v>60000</v>
      </c>
    </row>
    <row r="559" spans="1:5" ht="17.100000000000001" customHeight="1">
      <c r="A559" s="812"/>
      <c r="B559" s="820"/>
      <c r="C559" s="920" t="s">
        <v>783</v>
      </c>
      <c r="D559" s="921" t="s">
        <v>784</v>
      </c>
      <c r="E559" s="868">
        <v>60000</v>
      </c>
    </row>
    <row r="560" spans="1:5" ht="17.100000000000001" customHeight="1">
      <c r="A560" s="812"/>
      <c r="B560" s="820"/>
      <c r="C560" s="920" t="s">
        <v>785</v>
      </c>
      <c r="D560" s="921" t="s">
        <v>786</v>
      </c>
      <c r="E560" s="868">
        <v>150000</v>
      </c>
    </row>
    <row r="561" spans="1:5" ht="17.100000000000001" customHeight="1">
      <c r="A561" s="812"/>
      <c r="B561" s="820"/>
      <c r="C561" s="920" t="s">
        <v>853</v>
      </c>
      <c r="D561" s="921" t="s">
        <v>854</v>
      </c>
      <c r="E561" s="868">
        <v>250000</v>
      </c>
    </row>
    <row r="562" spans="1:5" ht="17.100000000000001" customHeight="1">
      <c r="A562" s="812"/>
      <c r="B562" s="820"/>
      <c r="C562" s="920" t="s">
        <v>787</v>
      </c>
      <c r="D562" s="921" t="s">
        <v>788</v>
      </c>
      <c r="E562" s="868">
        <v>150000</v>
      </c>
    </row>
    <row r="563" spans="1:5" ht="17.100000000000001" customHeight="1">
      <c r="A563" s="812"/>
      <c r="B563" s="820"/>
      <c r="C563" s="920" t="s">
        <v>789</v>
      </c>
      <c r="D563" s="921" t="s">
        <v>790</v>
      </c>
      <c r="E563" s="868">
        <v>1395480</v>
      </c>
    </row>
    <row r="564" spans="1:5" ht="17.100000000000001" customHeight="1">
      <c r="A564" s="812"/>
      <c r="B564" s="820"/>
      <c r="C564" s="920" t="s">
        <v>793</v>
      </c>
      <c r="D564" s="921" t="s">
        <v>794</v>
      </c>
      <c r="E564" s="868">
        <v>10000</v>
      </c>
    </row>
    <row r="565" spans="1:5" ht="17.100000000000001" customHeight="1">
      <c r="A565" s="812"/>
      <c r="B565" s="820"/>
      <c r="C565" s="920" t="s">
        <v>795</v>
      </c>
      <c r="D565" s="921" t="s">
        <v>796</v>
      </c>
      <c r="E565" s="868">
        <v>170000</v>
      </c>
    </row>
    <row r="566" spans="1:5" ht="17.100000000000001" customHeight="1">
      <c r="A566" s="812"/>
      <c r="B566" s="820"/>
      <c r="C566" s="925" t="s">
        <v>797</v>
      </c>
      <c r="D566" s="926" t="s">
        <v>798</v>
      </c>
      <c r="E566" s="868">
        <v>100000</v>
      </c>
    </row>
    <row r="567" spans="1:5" ht="17.100000000000001" customHeight="1">
      <c r="A567" s="812"/>
      <c r="B567" s="820"/>
      <c r="C567" s="925" t="s">
        <v>825</v>
      </c>
      <c r="D567" s="926" t="s">
        <v>826</v>
      </c>
      <c r="E567" s="868">
        <v>100000</v>
      </c>
    </row>
    <row r="568" spans="1:5" ht="17.100000000000001" customHeight="1">
      <c r="A568" s="812"/>
      <c r="B568" s="820"/>
      <c r="C568" s="957" t="s">
        <v>799</v>
      </c>
      <c r="D568" s="958" t="s">
        <v>800</v>
      </c>
      <c r="E568" s="868">
        <v>200000</v>
      </c>
    </row>
    <row r="569" spans="1:5" ht="17.100000000000001" customHeight="1">
      <c r="A569" s="812"/>
      <c r="B569" s="820"/>
      <c r="C569" s="838"/>
      <c r="D569" s="838"/>
      <c r="E569" s="825"/>
    </row>
    <row r="570" spans="1:5" ht="17.100000000000001" customHeight="1">
      <c r="A570" s="812"/>
      <c r="B570" s="820"/>
      <c r="C570" s="1621" t="s">
        <v>801</v>
      </c>
      <c r="D570" s="1621"/>
      <c r="E570" s="828">
        <f t="shared" ref="E570" si="58">E571</f>
        <v>70000</v>
      </c>
    </row>
    <row r="571" spans="1:5" ht="17.100000000000001" customHeight="1">
      <c r="A571" s="812"/>
      <c r="B571" s="820"/>
      <c r="C571" s="849" t="s">
        <v>802</v>
      </c>
      <c r="D571" s="850" t="s">
        <v>803</v>
      </c>
      <c r="E571" s="868">
        <v>70000</v>
      </c>
    </row>
    <row r="572" spans="1:5" ht="17.100000000000001" customHeight="1">
      <c r="A572" s="812"/>
      <c r="B572" s="820"/>
      <c r="C572" s="838"/>
      <c r="D572" s="838"/>
      <c r="E572" s="825"/>
    </row>
    <row r="573" spans="1:5" ht="17.100000000000001" customHeight="1">
      <c r="A573" s="812"/>
      <c r="B573" s="820"/>
      <c r="C573" s="1640" t="s">
        <v>813</v>
      </c>
      <c r="D573" s="1641"/>
      <c r="E573" s="828">
        <f>SUM(E574:E612)</f>
        <v>34085364</v>
      </c>
    </row>
    <row r="574" spans="1:5" ht="17.100000000000001" customHeight="1">
      <c r="A574" s="812"/>
      <c r="B574" s="820"/>
      <c r="C574" s="959" t="s">
        <v>370</v>
      </c>
      <c r="D574" s="850" t="s">
        <v>803</v>
      </c>
      <c r="E574" s="828">
        <v>21250</v>
      </c>
    </row>
    <row r="575" spans="1:5" ht="17.100000000000001" customHeight="1">
      <c r="A575" s="812"/>
      <c r="B575" s="820"/>
      <c r="C575" s="960" t="s">
        <v>371</v>
      </c>
      <c r="D575" s="830" t="s">
        <v>803</v>
      </c>
      <c r="E575" s="828">
        <v>3750</v>
      </c>
    </row>
    <row r="576" spans="1:5" ht="17.100000000000001" customHeight="1">
      <c r="A576" s="812"/>
      <c r="B576" s="820"/>
      <c r="C576" s="961" t="s">
        <v>356</v>
      </c>
      <c r="D576" s="958" t="s">
        <v>885</v>
      </c>
      <c r="E576" s="828">
        <v>46750</v>
      </c>
    </row>
    <row r="577" spans="1:5" ht="17.100000000000001" customHeight="1">
      <c r="A577" s="812"/>
      <c r="B577" s="820"/>
      <c r="C577" s="961" t="s">
        <v>357</v>
      </c>
      <c r="D577" s="958" t="s">
        <v>885</v>
      </c>
      <c r="E577" s="828">
        <v>8250</v>
      </c>
    </row>
    <row r="578" spans="1:5" ht="17.100000000000001" customHeight="1">
      <c r="A578" s="812"/>
      <c r="B578" s="820"/>
      <c r="C578" s="849" t="s">
        <v>362</v>
      </c>
      <c r="D578" s="850" t="s">
        <v>756</v>
      </c>
      <c r="E578" s="828">
        <v>17436835</v>
      </c>
    </row>
    <row r="579" spans="1:5" ht="17.100000000000001" customHeight="1">
      <c r="A579" s="812"/>
      <c r="B579" s="820"/>
      <c r="C579" s="920" t="s">
        <v>363</v>
      </c>
      <c r="D579" s="921" t="s">
        <v>756</v>
      </c>
      <c r="E579" s="828">
        <v>3077089</v>
      </c>
    </row>
    <row r="580" spans="1:5" ht="17.100000000000001" customHeight="1">
      <c r="A580" s="812"/>
      <c r="B580" s="820"/>
      <c r="C580" s="920" t="s">
        <v>364</v>
      </c>
      <c r="D580" s="921" t="s">
        <v>758</v>
      </c>
      <c r="E580" s="828">
        <v>1107282</v>
      </c>
    </row>
    <row r="581" spans="1:5" ht="17.100000000000001" customHeight="1">
      <c r="A581" s="812"/>
      <c r="B581" s="820"/>
      <c r="C581" s="920" t="s">
        <v>365</v>
      </c>
      <c r="D581" s="921" t="s">
        <v>758</v>
      </c>
      <c r="E581" s="828">
        <v>195401</v>
      </c>
    </row>
    <row r="582" spans="1:5" ht="17.100000000000001" customHeight="1">
      <c r="A582" s="812"/>
      <c r="B582" s="820"/>
      <c r="C582" s="920" t="s">
        <v>336</v>
      </c>
      <c r="D582" s="921" t="s">
        <v>760</v>
      </c>
      <c r="E582" s="828">
        <v>3248093</v>
      </c>
    </row>
    <row r="583" spans="1:5" ht="17.100000000000001" customHeight="1">
      <c r="A583" s="812"/>
      <c r="B583" s="820"/>
      <c r="C583" s="920" t="s">
        <v>337</v>
      </c>
      <c r="D583" s="921" t="s">
        <v>760</v>
      </c>
      <c r="E583" s="828">
        <v>573194</v>
      </c>
    </row>
    <row r="584" spans="1:5" ht="17.100000000000001" customHeight="1">
      <c r="A584" s="812"/>
      <c r="B584" s="820"/>
      <c r="C584" s="920" t="s">
        <v>366</v>
      </c>
      <c r="D584" s="921" t="s">
        <v>762</v>
      </c>
      <c r="E584" s="828">
        <v>457696</v>
      </c>
    </row>
    <row r="585" spans="1:5" ht="17.100000000000001" customHeight="1">
      <c r="A585" s="812"/>
      <c r="B585" s="820"/>
      <c r="C585" s="920" t="s">
        <v>367</v>
      </c>
      <c r="D585" s="921" t="s">
        <v>762</v>
      </c>
      <c r="E585" s="828">
        <v>80770</v>
      </c>
    </row>
    <row r="586" spans="1:5" ht="17.100000000000001" customHeight="1">
      <c r="A586" s="812"/>
      <c r="B586" s="820"/>
      <c r="C586" s="920" t="s">
        <v>338</v>
      </c>
      <c r="D586" s="921" t="s">
        <v>764</v>
      </c>
      <c r="E586" s="828">
        <f>382500+63750+1600975</f>
        <v>2047225</v>
      </c>
    </row>
    <row r="587" spans="1:5" ht="17.100000000000001" customHeight="1">
      <c r="A587" s="812"/>
      <c r="B587" s="820"/>
      <c r="C587" s="920" t="s">
        <v>339</v>
      </c>
      <c r="D587" s="921" t="s">
        <v>764</v>
      </c>
      <c r="E587" s="828">
        <f>67500+11250+282525</f>
        <v>361275</v>
      </c>
    </row>
    <row r="588" spans="1:5" ht="17.100000000000001" customHeight="1">
      <c r="A588" s="812"/>
      <c r="B588" s="820"/>
      <c r="C588" s="920" t="s">
        <v>341</v>
      </c>
      <c r="D588" s="921" t="s">
        <v>769</v>
      </c>
      <c r="E588" s="828">
        <f>102000+510000</f>
        <v>612000</v>
      </c>
    </row>
    <row r="589" spans="1:5" ht="17.100000000000001" customHeight="1">
      <c r="A589" s="812"/>
      <c r="B589" s="820"/>
      <c r="C589" s="920" t="s">
        <v>342</v>
      </c>
      <c r="D589" s="921" t="s">
        <v>769</v>
      </c>
      <c r="E589" s="828">
        <f>18000+90000</f>
        <v>108000</v>
      </c>
    </row>
    <row r="590" spans="1:5" ht="17.100000000000001" customHeight="1">
      <c r="A590" s="812"/>
      <c r="B590" s="820"/>
      <c r="C590" s="920" t="s">
        <v>372</v>
      </c>
      <c r="D590" s="921" t="s">
        <v>773</v>
      </c>
      <c r="E590" s="828">
        <v>289000</v>
      </c>
    </row>
    <row r="591" spans="1:5" ht="17.100000000000001" customHeight="1">
      <c r="A591" s="812"/>
      <c r="B591" s="820"/>
      <c r="C591" s="920" t="s">
        <v>373</v>
      </c>
      <c r="D591" s="921" t="s">
        <v>773</v>
      </c>
      <c r="E591" s="828">
        <v>51000</v>
      </c>
    </row>
    <row r="592" spans="1:5" ht="17.100000000000001" customHeight="1">
      <c r="A592" s="812"/>
      <c r="B592" s="820"/>
      <c r="C592" s="920" t="s">
        <v>374</v>
      </c>
      <c r="D592" s="921" t="s">
        <v>777</v>
      </c>
      <c r="E592" s="828">
        <v>21250</v>
      </c>
    </row>
    <row r="593" spans="1:5" ht="17.100000000000001" customHeight="1">
      <c r="A593" s="812"/>
      <c r="B593" s="820"/>
      <c r="C593" s="920" t="s">
        <v>375</v>
      </c>
      <c r="D593" s="921" t="s">
        <v>777</v>
      </c>
      <c r="E593" s="828">
        <v>3750</v>
      </c>
    </row>
    <row r="594" spans="1:5" ht="17.100000000000001" customHeight="1">
      <c r="A594" s="812"/>
      <c r="B594" s="820"/>
      <c r="C594" s="920" t="s">
        <v>343</v>
      </c>
      <c r="D594" s="921" t="s">
        <v>778</v>
      </c>
      <c r="E594" s="828">
        <f>2018750+17000+608178</f>
        <v>2643928</v>
      </c>
    </row>
    <row r="595" spans="1:5" ht="17.100000000000001" customHeight="1">
      <c r="A595" s="812"/>
      <c r="B595" s="820"/>
      <c r="C595" s="920" t="s">
        <v>344</v>
      </c>
      <c r="D595" s="921" t="s">
        <v>778</v>
      </c>
      <c r="E595" s="828">
        <f>356250+3000+107326</f>
        <v>466576</v>
      </c>
    </row>
    <row r="596" spans="1:5" ht="26.25" hidden="1" customHeight="1">
      <c r="A596" s="812"/>
      <c r="B596" s="820"/>
      <c r="C596" s="920" t="s">
        <v>471</v>
      </c>
      <c r="D596" s="921" t="s">
        <v>886</v>
      </c>
      <c r="E596" s="828">
        <v>0</v>
      </c>
    </row>
    <row r="597" spans="1:5" ht="16.5" customHeight="1">
      <c r="A597" s="812"/>
      <c r="B597" s="820"/>
      <c r="C597" s="920" t="s">
        <v>358</v>
      </c>
      <c r="D597" s="921" t="s">
        <v>878</v>
      </c>
      <c r="E597" s="828">
        <f>8500+17000</f>
        <v>25500</v>
      </c>
    </row>
    <row r="598" spans="1:5" ht="16.5" customHeight="1">
      <c r="A598" s="812"/>
      <c r="B598" s="820"/>
      <c r="C598" s="920" t="s">
        <v>359</v>
      </c>
      <c r="D598" s="921" t="s">
        <v>878</v>
      </c>
      <c r="E598" s="828">
        <f>1500+3000</f>
        <v>4500</v>
      </c>
    </row>
    <row r="599" spans="1:5" ht="17.100000000000001" customHeight="1">
      <c r="A599" s="812"/>
      <c r="B599" s="820"/>
      <c r="C599" s="920" t="s">
        <v>352</v>
      </c>
      <c r="D599" s="921" t="s">
        <v>782</v>
      </c>
      <c r="E599" s="828">
        <f>314500+174250+17000</f>
        <v>505750</v>
      </c>
    </row>
    <row r="600" spans="1:5" ht="16.5" customHeight="1">
      <c r="A600" s="812"/>
      <c r="B600" s="820"/>
      <c r="C600" s="920" t="s">
        <v>353</v>
      </c>
      <c r="D600" s="921" t="s">
        <v>782</v>
      </c>
      <c r="E600" s="828">
        <f>55500+30750+3000</f>
        <v>89250</v>
      </c>
    </row>
    <row r="601" spans="1:5" ht="16.5" hidden="1" customHeight="1">
      <c r="A601" s="812"/>
      <c r="B601" s="820"/>
      <c r="C601" s="920" t="s">
        <v>472</v>
      </c>
      <c r="D601" s="921" t="s">
        <v>784</v>
      </c>
      <c r="E601" s="828">
        <v>0</v>
      </c>
    </row>
    <row r="602" spans="1:5" ht="20.100000000000001" hidden="1" customHeight="1">
      <c r="A602" s="812"/>
      <c r="B602" s="820"/>
      <c r="C602" s="920" t="s">
        <v>475</v>
      </c>
      <c r="D602" s="921" t="s">
        <v>784</v>
      </c>
      <c r="E602" s="828">
        <v>0</v>
      </c>
    </row>
    <row r="603" spans="1:5" ht="17.100000000000001" customHeight="1">
      <c r="A603" s="812"/>
      <c r="B603" s="820"/>
      <c r="C603" s="920" t="s">
        <v>345</v>
      </c>
      <c r="D603" s="921" t="s">
        <v>786</v>
      </c>
      <c r="E603" s="828">
        <f>8500+97750</f>
        <v>106250</v>
      </c>
    </row>
    <row r="604" spans="1:5" ht="17.100000000000001" customHeight="1">
      <c r="A604" s="812"/>
      <c r="B604" s="820"/>
      <c r="C604" s="920" t="s">
        <v>346</v>
      </c>
      <c r="D604" s="921" t="s">
        <v>786</v>
      </c>
      <c r="E604" s="828">
        <f>1500+17250</f>
        <v>18750</v>
      </c>
    </row>
    <row r="605" spans="1:5" ht="17.100000000000001" customHeight="1">
      <c r="A605" s="812"/>
      <c r="B605" s="820"/>
      <c r="C605" s="920" t="s">
        <v>376</v>
      </c>
      <c r="D605" s="921" t="s">
        <v>854</v>
      </c>
      <c r="E605" s="828">
        <v>34000</v>
      </c>
    </row>
    <row r="606" spans="1:5" ht="17.100000000000001" customHeight="1">
      <c r="A606" s="812"/>
      <c r="B606" s="820"/>
      <c r="C606" s="920" t="s">
        <v>377</v>
      </c>
      <c r="D606" s="921" t="s">
        <v>854</v>
      </c>
      <c r="E606" s="828">
        <v>6000</v>
      </c>
    </row>
    <row r="607" spans="1:5" ht="17.100000000000001" customHeight="1">
      <c r="A607" s="812"/>
      <c r="B607" s="820"/>
      <c r="C607" s="920" t="s">
        <v>378</v>
      </c>
      <c r="D607" s="921" t="s">
        <v>796</v>
      </c>
      <c r="E607" s="828">
        <v>25500</v>
      </c>
    </row>
    <row r="608" spans="1:5" ht="17.100000000000001" customHeight="1">
      <c r="A608" s="812"/>
      <c r="B608" s="820"/>
      <c r="C608" s="920" t="s">
        <v>379</v>
      </c>
      <c r="D608" s="921" t="s">
        <v>796</v>
      </c>
      <c r="E608" s="828">
        <v>4500</v>
      </c>
    </row>
    <row r="609" spans="1:5" ht="17.100000000000001" customHeight="1">
      <c r="A609" s="812"/>
      <c r="B609" s="820"/>
      <c r="C609" s="925" t="s">
        <v>347</v>
      </c>
      <c r="D609" s="926" t="s">
        <v>826</v>
      </c>
      <c r="E609" s="828">
        <f>42500+89250</f>
        <v>131750</v>
      </c>
    </row>
    <row r="610" spans="1:5" ht="17.100000000000001" customHeight="1">
      <c r="A610" s="812"/>
      <c r="B610" s="820"/>
      <c r="C610" s="931" t="s">
        <v>348</v>
      </c>
      <c r="D610" s="932" t="s">
        <v>826</v>
      </c>
      <c r="E610" s="828">
        <f>7500+15750</f>
        <v>23250</v>
      </c>
    </row>
    <row r="611" spans="1:5" ht="17.100000000000001" customHeight="1">
      <c r="A611" s="812"/>
      <c r="B611" s="820"/>
      <c r="C611" s="849" t="s">
        <v>380</v>
      </c>
      <c r="D611" s="850" t="s">
        <v>800</v>
      </c>
      <c r="E611" s="828">
        <v>212500</v>
      </c>
    </row>
    <row r="612" spans="1:5" ht="17.100000000000001" customHeight="1">
      <c r="A612" s="812"/>
      <c r="B612" s="820"/>
      <c r="C612" s="920" t="s">
        <v>381</v>
      </c>
      <c r="D612" s="921" t="s">
        <v>800</v>
      </c>
      <c r="E612" s="828">
        <v>37500</v>
      </c>
    </row>
    <row r="613" spans="1:5" ht="17.100000000000001" customHeight="1">
      <c r="A613" s="812"/>
      <c r="B613" s="820"/>
      <c r="C613" s="838"/>
      <c r="D613" s="838"/>
      <c r="E613" s="825"/>
    </row>
    <row r="614" spans="1:5" ht="17.100000000000001" customHeight="1">
      <c r="A614" s="812"/>
      <c r="B614" s="820"/>
      <c r="C614" s="1629" t="s">
        <v>804</v>
      </c>
      <c r="D614" s="1629"/>
      <c r="E614" s="832">
        <f t="shared" ref="E614" si="59">E615</f>
        <v>31010075</v>
      </c>
    </row>
    <row r="615" spans="1:5" ht="17.100000000000001" customHeight="1">
      <c r="A615" s="812"/>
      <c r="B615" s="820"/>
      <c r="C615" s="1621" t="s">
        <v>857</v>
      </c>
      <c r="D615" s="1621"/>
      <c r="E615" s="828">
        <f>SUM(E616:E621)</f>
        <v>31010075</v>
      </c>
    </row>
    <row r="616" spans="1:5">
      <c r="A616" s="812"/>
      <c r="B616" s="820"/>
      <c r="C616" s="920" t="s">
        <v>405</v>
      </c>
      <c r="D616" s="921" t="s">
        <v>806</v>
      </c>
      <c r="E616" s="828">
        <v>21422700</v>
      </c>
    </row>
    <row r="617" spans="1:5" ht="17.100000000000001" customHeight="1">
      <c r="A617" s="812"/>
      <c r="B617" s="820"/>
      <c r="C617" s="920" t="s">
        <v>406</v>
      </c>
      <c r="D617" s="921" t="s">
        <v>806</v>
      </c>
      <c r="E617" s="828">
        <v>5098619</v>
      </c>
    </row>
    <row r="618" spans="1:5" ht="17.100000000000001" customHeight="1">
      <c r="A618" s="812"/>
      <c r="B618" s="820"/>
      <c r="C618" s="920" t="s">
        <v>451</v>
      </c>
      <c r="D618" s="921" t="s">
        <v>806</v>
      </c>
      <c r="E618" s="828">
        <v>902756</v>
      </c>
    </row>
    <row r="619" spans="1:5" ht="17.100000000000001" customHeight="1">
      <c r="A619" s="812"/>
      <c r="B619" s="1642"/>
      <c r="C619" s="920" t="s">
        <v>401</v>
      </c>
      <c r="D619" s="921" t="s">
        <v>819</v>
      </c>
      <c r="E619" s="828">
        <v>2886000</v>
      </c>
    </row>
    <row r="620" spans="1:5" ht="17.100000000000001" customHeight="1">
      <c r="A620" s="812"/>
      <c r="B620" s="1642"/>
      <c r="C620" s="920" t="s">
        <v>382</v>
      </c>
      <c r="D620" s="921" t="s">
        <v>819</v>
      </c>
      <c r="E620" s="828">
        <v>595000</v>
      </c>
    </row>
    <row r="621" spans="1:5" ht="17.100000000000001" customHeight="1">
      <c r="A621" s="812"/>
      <c r="B621" s="1642"/>
      <c r="C621" s="920" t="s">
        <v>850</v>
      </c>
      <c r="D621" s="921" t="s">
        <v>819</v>
      </c>
      <c r="E621" s="828">
        <v>105000</v>
      </c>
    </row>
    <row r="622" spans="1:5" ht="17.100000000000001" customHeight="1">
      <c r="A622" s="812"/>
      <c r="B622" s="1590"/>
      <c r="C622" s="896"/>
      <c r="D622" s="962"/>
      <c r="E622" s="963"/>
    </row>
    <row r="623" spans="1:5" ht="17.100000000000001" customHeight="1">
      <c r="A623" s="812"/>
      <c r="B623" s="1590"/>
      <c r="C623" s="1614" t="s">
        <v>811</v>
      </c>
      <c r="D623" s="1643"/>
      <c r="E623" s="899">
        <f>SUM(E624:E627)</f>
        <v>6701375</v>
      </c>
    </row>
    <row r="624" spans="1:5" ht="17.100000000000001" customHeight="1">
      <c r="A624" s="812"/>
      <c r="B624" s="1590"/>
      <c r="C624" s="920" t="s">
        <v>406</v>
      </c>
      <c r="D624" s="921" t="s">
        <v>806</v>
      </c>
      <c r="E624" s="828">
        <v>5098619</v>
      </c>
    </row>
    <row r="625" spans="1:5" ht="17.100000000000001" customHeight="1">
      <c r="A625" s="812"/>
      <c r="B625" s="1590"/>
      <c r="C625" s="920" t="s">
        <v>451</v>
      </c>
      <c r="D625" s="921" t="s">
        <v>806</v>
      </c>
      <c r="E625" s="828">
        <v>902756</v>
      </c>
    </row>
    <row r="626" spans="1:5" ht="17.100000000000001" customHeight="1">
      <c r="A626" s="812"/>
      <c r="B626" s="1590"/>
      <c r="C626" s="942" t="s">
        <v>382</v>
      </c>
      <c r="D626" s="964" t="s">
        <v>819</v>
      </c>
      <c r="E626" s="828">
        <v>595000</v>
      </c>
    </row>
    <row r="627" spans="1:5" ht="17.100000000000001" customHeight="1" thickBot="1">
      <c r="A627" s="812"/>
      <c r="B627" s="1590"/>
      <c r="C627" s="925" t="s">
        <v>850</v>
      </c>
      <c r="D627" s="926" t="s">
        <v>819</v>
      </c>
      <c r="E627" s="828">
        <v>105000</v>
      </c>
    </row>
    <row r="628" spans="1:5" ht="17.100000000000001" customHeight="1" thickBot="1">
      <c r="A628" s="812"/>
      <c r="B628" s="858" t="s">
        <v>232</v>
      </c>
      <c r="C628" s="859"/>
      <c r="D628" s="860" t="s">
        <v>233</v>
      </c>
      <c r="E628" s="861">
        <f t="shared" ref="E628:E629" si="60">E629</f>
        <v>20000</v>
      </c>
    </row>
    <row r="629" spans="1:5" ht="17.100000000000001" customHeight="1">
      <c r="A629" s="812"/>
      <c r="B629" s="1587"/>
      <c r="C629" s="1583" t="s">
        <v>323</v>
      </c>
      <c r="D629" s="1583"/>
      <c r="E629" s="817">
        <f t="shared" si="60"/>
        <v>20000</v>
      </c>
    </row>
    <row r="630" spans="1:5" ht="17.100000000000001" customHeight="1">
      <c r="A630" s="812"/>
      <c r="B630" s="1587"/>
      <c r="C630" s="1627" t="s">
        <v>754</v>
      </c>
      <c r="D630" s="1627"/>
      <c r="E630" s="828">
        <f t="shared" ref="E630" si="61">E631+E636</f>
        <v>20000</v>
      </c>
    </row>
    <row r="631" spans="1:5" ht="17.100000000000001" customHeight="1">
      <c r="A631" s="812"/>
      <c r="B631" s="1587"/>
      <c r="C631" s="1628" t="s">
        <v>755</v>
      </c>
      <c r="D631" s="1628"/>
      <c r="E631" s="841">
        <f t="shared" ref="E631" si="62">SUM(E632:E634)</f>
        <v>10000</v>
      </c>
    </row>
    <row r="632" spans="1:5" ht="17.100000000000001" customHeight="1">
      <c r="A632" s="812"/>
      <c r="B632" s="1587"/>
      <c r="C632" s="920" t="s">
        <v>759</v>
      </c>
      <c r="D632" s="921" t="s">
        <v>760</v>
      </c>
      <c r="E632" s="828">
        <v>700</v>
      </c>
    </row>
    <row r="633" spans="1:5" ht="17.100000000000001" customHeight="1">
      <c r="A633" s="812"/>
      <c r="B633" s="1587"/>
      <c r="C633" s="920" t="s">
        <v>761</v>
      </c>
      <c r="D633" s="921" t="s">
        <v>762</v>
      </c>
      <c r="E633" s="828">
        <v>140</v>
      </c>
    </row>
    <row r="634" spans="1:5" ht="17.100000000000001" customHeight="1">
      <c r="A634" s="812"/>
      <c r="B634" s="820"/>
      <c r="C634" s="920" t="s">
        <v>763</v>
      </c>
      <c r="D634" s="921" t="s">
        <v>764</v>
      </c>
      <c r="E634" s="828">
        <v>9160</v>
      </c>
    </row>
    <row r="635" spans="1:5" ht="17.100000000000001" customHeight="1">
      <c r="A635" s="812"/>
      <c r="B635" s="820"/>
      <c r="C635" s="838"/>
      <c r="D635" s="838"/>
      <c r="E635" s="825"/>
    </row>
    <row r="636" spans="1:5" ht="17.100000000000001" customHeight="1">
      <c r="A636" s="812"/>
      <c r="B636" s="820"/>
      <c r="C636" s="1620" t="s">
        <v>765</v>
      </c>
      <c r="D636" s="1620"/>
      <c r="E636" s="841">
        <f t="shared" ref="E636" si="63">SUM(E637:E638)</f>
        <v>10000</v>
      </c>
    </row>
    <row r="637" spans="1:5" ht="17.100000000000001" customHeight="1">
      <c r="A637" s="812"/>
      <c r="B637" s="820"/>
      <c r="C637" s="925" t="s">
        <v>768</v>
      </c>
      <c r="D637" s="926" t="s">
        <v>769</v>
      </c>
      <c r="E637" s="927">
        <v>1500</v>
      </c>
    </row>
    <row r="638" spans="1:5" ht="17.100000000000001" customHeight="1" thickBot="1">
      <c r="A638" s="812"/>
      <c r="B638" s="820"/>
      <c r="C638" s="965" t="s">
        <v>517</v>
      </c>
      <c r="D638" s="966" t="s">
        <v>778</v>
      </c>
      <c r="E638" s="835">
        <v>8500</v>
      </c>
    </row>
    <row r="639" spans="1:5" ht="17.100000000000001" customHeight="1" thickBot="1">
      <c r="A639" s="812"/>
      <c r="B639" s="858" t="s">
        <v>3</v>
      </c>
      <c r="C639" s="859"/>
      <c r="D639" s="860" t="s">
        <v>6</v>
      </c>
      <c r="E639" s="861">
        <f>E640+E684</f>
        <v>20442391</v>
      </c>
    </row>
    <row r="640" spans="1:5" ht="17.100000000000001" customHeight="1">
      <c r="A640" s="812"/>
      <c r="B640" s="1642"/>
      <c r="C640" s="1583" t="s">
        <v>753</v>
      </c>
      <c r="D640" s="1583"/>
      <c r="E640" s="817">
        <f>E641+E654+E657</f>
        <v>20027391</v>
      </c>
    </row>
    <row r="641" spans="1:5" ht="17.100000000000001" customHeight="1">
      <c r="A641" s="812"/>
      <c r="B641" s="1642"/>
      <c r="C641" s="1627" t="s">
        <v>754</v>
      </c>
      <c r="D641" s="1627"/>
      <c r="E641" s="828">
        <f>E642+E645</f>
        <v>13216716</v>
      </c>
    </row>
    <row r="642" spans="1:5" ht="17.100000000000001" customHeight="1">
      <c r="A642" s="812"/>
      <c r="B642" s="1642"/>
      <c r="C642" s="1628" t="s">
        <v>755</v>
      </c>
      <c r="D642" s="1628"/>
      <c r="E642" s="841">
        <f>SUM(E643:E643)</f>
        <v>25000</v>
      </c>
    </row>
    <row r="643" spans="1:5" ht="17.100000000000001" customHeight="1">
      <c r="A643" s="812"/>
      <c r="B643" s="1642"/>
      <c r="C643" s="920" t="s">
        <v>763</v>
      </c>
      <c r="D643" s="921" t="s">
        <v>764</v>
      </c>
      <c r="E643" s="828">
        <f>20000+5000</f>
        <v>25000</v>
      </c>
    </row>
    <row r="644" spans="1:5" ht="17.100000000000001" customHeight="1">
      <c r="A644" s="812"/>
      <c r="B644" s="1642"/>
      <c r="C644" s="838"/>
      <c r="D644" s="838"/>
      <c r="E644" s="825"/>
    </row>
    <row r="645" spans="1:5" ht="17.100000000000001" customHeight="1">
      <c r="A645" s="812"/>
      <c r="B645" s="1642"/>
      <c r="C645" s="1644" t="s">
        <v>765</v>
      </c>
      <c r="D645" s="1620"/>
      <c r="E645" s="841">
        <f>SUM(E646:E652)</f>
        <v>13191716</v>
      </c>
    </row>
    <row r="646" spans="1:5" ht="17.100000000000001" customHeight="1">
      <c r="A646" s="812"/>
      <c r="B646" s="1642"/>
      <c r="C646" s="957" t="s">
        <v>824</v>
      </c>
      <c r="D646" s="943" t="s">
        <v>814</v>
      </c>
      <c r="E646" s="828">
        <f>2000+30000</f>
        <v>32000</v>
      </c>
    </row>
    <row r="647" spans="1:5" ht="17.100000000000001" customHeight="1">
      <c r="A647" s="812"/>
      <c r="B647" s="1642"/>
      <c r="C647" s="849" t="s">
        <v>768</v>
      </c>
      <c r="D647" s="921" t="s">
        <v>769</v>
      </c>
      <c r="E647" s="828">
        <f>295000+1000+5000+20000+89000</f>
        <v>410000</v>
      </c>
    </row>
    <row r="648" spans="1:5" ht="17.100000000000001" customHeight="1">
      <c r="A648" s="812"/>
      <c r="B648" s="1642"/>
      <c r="C648" s="920" t="s">
        <v>517</v>
      </c>
      <c r="D648" s="921" t="s">
        <v>778</v>
      </c>
      <c r="E648" s="828">
        <f>10034116+115000+63000+30000+490000+50000</f>
        <v>10782116</v>
      </c>
    </row>
    <row r="649" spans="1:5" ht="17.100000000000001" customHeight="1">
      <c r="A649" s="812"/>
      <c r="B649" s="1642"/>
      <c r="C649" s="920" t="s">
        <v>884</v>
      </c>
      <c r="D649" s="921" t="s">
        <v>878</v>
      </c>
      <c r="E649" s="828">
        <f>110000+25000</f>
        <v>135000</v>
      </c>
    </row>
    <row r="650" spans="1:5" ht="17.100000000000001" customHeight="1">
      <c r="A650" s="812"/>
      <c r="B650" s="1642"/>
      <c r="C650" s="849" t="s">
        <v>781</v>
      </c>
      <c r="D650" s="850" t="s">
        <v>782</v>
      </c>
      <c r="E650" s="828">
        <v>100000</v>
      </c>
    </row>
    <row r="651" spans="1:5" ht="17.100000000000001" customHeight="1">
      <c r="A651" s="812"/>
      <c r="B651" s="1642"/>
      <c r="C651" s="923" t="s">
        <v>853</v>
      </c>
      <c r="D651" s="967" t="s">
        <v>854</v>
      </c>
      <c r="E651" s="868">
        <v>7600</v>
      </c>
    </row>
    <row r="652" spans="1:5" ht="17.100000000000001" customHeight="1">
      <c r="A652" s="812"/>
      <c r="B652" s="1642"/>
      <c r="C652" s="968" t="s">
        <v>797</v>
      </c>
      <c r="D652" s="969" t="s">
        <v>798</v>
      </c>
      <c r="E652" s="868">
        <v>1725000</v>
      </c>
    </row>
    <row r="653" spans="1:5" ht="17.100000000000001" customHeight="1">
      <c r="A653" s="812"/>
      <c r="B653" s="1642"/>
      <c r="C653" s="838"/>
      <c r="D653" s="838"/>
      <c r="E653" s="825"/>
    </row>
    <row r="654" spans="1:5" ht="17.100000000000001" customHeight="1">
      <c r="A654" s="812"/>
      <c r="B654" s="1642"/>
      <c r="C654" s="1621" t="s">
        <v>815</v>
      </c>
      <c r="D654" s="1621"/>
      <c r="E654" s="828">
        <f t="shared" ref="E654" si="64">E655</f>
        <v>295610</v>
      </c>
    </row>
    <row r="655" spans="1:5" ht="40.5" customHeight="1">
      <c r="A655" s="812"/>
      <c r="B655" s="1642"/>
      <c r="C655" s="920" t="s">
        <v>13</v>
      </c>
      <c r="D655" s="921" t="s">
        <v>887</v>
      </c>
      <c r="E655" s="828">
        <v>295610</v>
      </c>
    </row>
    <row r="656" spans="1:5">
      <c r="A656" s="812"/>
      <c r="B656" s="1642"/>
      <c r="C656" s="838"/>
      <c r="D656" s="838"/>
      <c r="E656" s="825"/>
    </row>
    <row r="657" spans="1:5">
      <c r="A657" s="812"/>
      <c r="B657" s="1642"/>
      <c r="C657" s="1627" t="s">
        <v>813</v>
      </c>
      <c r="D657" s="1627"/>
      <c r="E657" s="828">
        <f>SUM(E658:E682)</f>
        <v>6515065</v>
      </c>
    </row>
    <row r="658" spans="1:5" ht="15.75" customHeight="1">
      <c r="A658" s="812"/>
      <c r="B658" s="1642"/>
      <c r="C658" s="970" t="s">
        <v>391</v>
      </c>
      <c r="D658" s="921" t="s">
        <v>756</v>
      </c>
      <c r="E658" s="948">
        <v>350000</v>
      </c>
    </row>
    <row r="659" spans="1:5" ht="15.75" customHeight="1">
      <c r="A659" s="812"/>
      <c r="B659" s="1642"/>
      <c r="C659" s="957" t="s">
        <v>362</v>
      </c>
      <c r="D659" s="921" t="s">
        <v>756</v>
      </c>
      <c r="E659" s="948">
        <v>149692</v>
      </c>
    </row>
    <row r="660" spans="1:5" ht="15.75" customHeight="1">
      <c r="A660" s="812"/>
      <c r="B660" s="1642"/>
      <c r="C660" s="957" t="s">
        <v>363</v>
      </c>
      <c r="D660" s="921" t="s">
        <v>756</v>
      </c>
      <c r="E660" s="948">
        <v>26417</v>
      </c>
    </row>
    <row r="661" spans="1:5" ht="15.75" customHeight="1">
      <c r="A661" s="812"/>
      <c r="B661" s="1642"/>
      <c r="C661" s="957" t="s">
        <v>392</v>
      </c>
      <c r="D661" s="921" t="s">
        <v>760</v>
      </c>
      <c r="E661" s="948">
        <v>60830</v>
      </c>
    </row>
    <row r="662" spans="1:5" ht="15.75" customHeight="1">
      <c r="A662" s="812"/>
      <c r="B662" s="1642"/>
      <c r="C662" s="957" t="s">
        <v>336</v>
      </c>
      <c r="D662" s="921" t="s">
        <v>760</v>
      </c>
      <c r="E662" s="948">
        <v>26016</v>
      </c>
    </row>
    <row r="663" spans="1:5" ht="15.75" customHeight="1">
      <c r="A663" s="812"/>
      <c r="B663" s="1642"/>
      <c r="C663" s="957" t="s">
        <v>337</v>
      </c>
      <c r="D663" s="921" t="s">
        <v>760</v>
      </c>
      <c r="E663" s="948">
        <v>4590</v>
      </c>
    </row>
    <row r="664" spans="1:5" ht="15.75" customHeight="1">
      <c r="A664" s="812"/>
      <c r="B664" s="1642"/>
      <c r="C664" s="957" t="s">
        <v>393</v>
      </c>
      <c r="D664" s="921" t="s">
        <v>762</v>
      </c>
      <c r="E664" s="948">
        <v>8575</v>
      </c>
    </row>
    <row r="665" spans="1:5" ht="15.75" customHeight="1">
      <c r="A665" s="812"/>
      <c r="B665" s="1642"/>
      <c r="C665" s="957" t="s">
        <v>366</v>
      </c>
      <c r="D665" s="921" t="s">
        <v>762</v>
      </c>
      <c r="E665" s="948">
        <v>3665</v>
      </c>
    </row>
    <row r="666" spans="1:5" ht="15.75" customHeight="1">
      <c r="A666" s="812"/>
      <c r="B666" s="1642"/>
      <c r="C666" s="957" t="s">
        <v>367</v>
      </c>
      <c r="D666" s="921" t="s">
        <v>762</v>
      </c>
      <c r="E666" s="948">
        <v>647</v>
      </c>
    </row>
    <row r="667" spans="1:5" ht="15.75" customHeight="1">
      <c r="A667" s="812"/>
      <c r="B667" s="1642"/>
      <c r="C667" s="957" t="s">
        <v>410</v>
      </c>
      <c r="D667" s="921" t="s">
        <v>764</v>
      </c>
      <c r="E667" s="948">
        <v>20000</v>
      </c>
    </row>
    <row r="668" spans="1:5" ht="15.75" customHeight="1">
      <c r="A668" s="812"/>
      <c r="B668" s="1642"/>
      <c r="C668" s="957" t="s">
        <v>411</v>
      </c>
      <c r="D668" s="921" t="s">
        <v>769</v>
      </c>
      <c r="E668" s="948">
        <v>200000</v>
      </c>
    </row>
    <row r="669" spans="1:5" ht="15.75" customHeight="1">
      <c r="A669" s="812"/>
      <c r="B669" s="1642"/>
      <c r="C669" s="957" t="s">
        <v>341</v>
      </c>
      <c r="D669" s="921" t="s">
        <v>769</v>
      </c>
      <c r="E669" s="948">
        <v>313526</v>
      </c>
    </row>
    <row r="670" spans="1:5" ht="15.75" customHeight="1">
      <c r="A670" s="812"/>
      <c r="B670" s="1642"/>
      <c r="C670" s="957" t="s">
        <v>342</v>
      </c>
      <c r="D670" s="921" t="s">
        <v>769</v>
      </c>
      <c r="E670" s="948">
        <v>55329</v>
      </c>
    </row>
    <row r="671" spans="1:5" ht="15.75" customHeight="1">
      <c r="A671" s="812"/>
      <c r="B671" s="1642"/>
      <c r="C671" s="957" t="s">
        <v>394</v>
      </c>
      <c r="D671" s="921" t="s">
        <v>778</v>
      </c>
      <c r="E671" s="948">
        <v>4510595</v>
      </c>
    </row>
    <row r="672" spans="1:5" ht="15.75" customHeight="1">
      <c r="A672" s="812"/>
      <c r="B672" s="1642"/>
      <c r="C672" s="957" t="s">
        <v>343</v>
      </c>
      <c r="D672" s="921" t="s">
        <v>778</v>
      </c>
      <c r="E672" s="948">
        <v>537522</v>
      </c>
    </row>
    <row r="673" spans="1:5" ht="15.75" customHeight="1">
      <c r="A673" s="812"/>
      <c r="B673" s="1642"/>
      <c r="C673" s="957" t="s">
        <v>344</v>
      </c>
      <c r="D673" s="921" t="s">
        <v>778</v>
      </c>
      <c r="E673" s="948">
        <v>94861</v>
      </c>
    </row>
    <row r="674" spans="1:5" ht="15.75" customHeight="1">
      <c r="A674" s="812"/>
      <c r="B674" s="1642"/>
      <c r="C674" s="957" t="s">
        <v>412</v>
      </c>
      <c r="D674" s="921" t="s">
        <v>878</v>
      </c>
      <c r="E674" s="948">
        <v>20000</v>
      </c>
    </row>
    <row r="675" spans="1:5" ht="15.75" customHeight="1">
      <c r="A675" s="812"/>
      <c r="B675" s="1642"/>
      <c r="C675" s="957" t="s">
        <v>418</v>
      </c>
      <c r="D675" s="850" t="s">
        <v>782</v>
      </c>
      <c r="E675" s="948">
        <v>20000</v>
      </c>
    </row>
    <row r="676" spans="1:5" ht="15.75" customHeight="1">
      <c r="A676" s="812"/>
      <c r="B676" s="1642"/>
      <c r="C676" s="957" t="s">
        <v>395</v>
      </c>
      <c r="D676" s="921" t="s">
        <v>786</v>
      </c>
      <c r="E676" s="948">
        <v>10000</v>
      </c>
    </row>
    <row r="677" spans="1:5" ht="15.75" customHeight="1">
      <c r="A677" s="812"/>
      <c r="B677" s="1642"/>
      <c r="C677" s="957" t="s">
        <v>345</v>
      </c>
      <c r="D677" s="921" t="s">
        <v>786</v>
      </c>
      <c r="E677" s="948">
        <v>680</v>
      </c>
    </row>
    <row r="678" spans="1:5" ht="15.75" customHeight="1">
      <c r="A678" s="812"/>
      <c r="B678" s="1642"/>
      <c r="C678" s="957" t="s">
        <v>346</v>
      </c>
      <c r="D678" s="921" t="s">
        <v>786</v>
      </c>
      <c r="E678" s="948">
        <v>120</v>
      </c>
    </row>
    <row r="679" spans="1:5" ht="15.75" customHeight="1">
      <c r="A679" s="812"/>
      <c r="B679" s="1642"/>
      <c r="C679" s="957" t="s">
        <v>413</v>
      </c>
      <c r="D679" s="971" t="s">
        <v>854</v>
      </c>
      <c r="E679" s="948">
        <v>70000</v>
      </c>
    </row>
    <row r="680" spans="1:5" ht="15.75" customHeight="1">
      <c r="A680" s="812"/>
      <c r="B680" s="1642"/>
      <c r="C680" s="957" t="s">
        <v>376</v>
      </c>
      <c r="D680" s="971" t="s">
        <v>854</v>
      </c>
      <c r="E680" s="948">
        <v>1700</v>
      </c>
    </row>
    <row r="681" spans="1:5" ht="15.75" customHeight="1">
      <c r="A681" s="812"/>
      <c r="B681" s="1642"/>
      <c r="C681" s="957" t="s">
        <v>377</v>
      </c>
      <c r="D681" s="971" t="s">
        <v>854</v>
      </c>
      <c r="E681" s="948">
        <v>300</v>
      </c>
    </row>
    <row r="682" spans="1:5" ht="15.75" customHeight="1">
      <c r="A682" s="812"/>
      <c r="B682" s="1642"/>
      <c r="C682" s="957" t="s">
        <v>396</v>
      </c>
      <c r="D682" s="971" t="s">
        <v>888</v>
      </c>
      <c r="E682" s="948">
        <v>30000</v>
      </c>
    </row>
    <row r="683" spans="1:5">
      <c r="A683" s="812"/>
      <c r="B683" s="1642"/>
      <c r="C683" s="972"/>
      <c r="D683" s="972"/>
      <c r="E683" s="847"/>
    </row>
    <row r="684" spans="1:5" ht="17.100000000000001" customHeight="1">
      <c r="A684" s="812"/>
      <c r="B684" s="1642"/>
      <c r="C684" s="1629" t="s">
        <v>804</v>
      </c>
      <c r="D684" s="1629"/>
      <c r="E684" s="947">
        <f t="shared" ref="E684" si="65">E685</f>
        <v>415000</v>
      </c>
    </row>
    <row r="685" spans="1:5" ht="17.100000000000001" customHeight="1">
      <c r="A685" s="812"/>
      <c r="B685" s="1642"/>
      <c r="C685" s="1645" t="s">
        <v>805</v>
      </c>
      <c r="D685" s="1646"/>
      <c r="E685" s="948">
        <f>SUM(E686:E689)</f>
        <v>415000</v>
      </c>
    </row>
    <row r="686" spans="1:5" ht="17.100000000000001" customHeight="1">
      <c r="A686" s="812"/>
      <c r="B686" s="1642"/>
      <c r="C686" s="920" t="s">
        <v>401</v>
      </c>
      <c r="D686" s="921" t="s">
        <v>819</v>
      </c>
      <c r="E686" s="948">
        <v>200000</v>
      </c>
    </row>
    <row r="687" spans="1:5" ht="17.100000000000001" customHeight="1">
      <c r="A687" s="812"/>
      <c r="B687" s="820"/>
      <c r="C687" s="920" t="s">
        <v>397</v>
      </c>
      <c r="D687" s="921" t="s">
        <v>819</v>
      </c>
      <c r="E687" s="948">
        <v>200000</v>
      </c>
    </row>
    <row r="688" spans="1:5" ht="17.100000000000001" customHeight="1">
      <c r="A688" s="812"/>
      <c r="B688" s="820"/>
      <c r="C688" s="920" t="s">
        <v>382</v>
      </c>
      <c r="D688" s="921" t="s">
        <v>819</v>
      </c>
      <c r="E688" s="948">
        <v>12750</v>
      </c>
    </row>
    <row r="689" spans="1:8" ht="17.100000000000001" customHeight="1">
      <c r="A689" s="812"/>
      <c r="B689" s="820"/>
      <c r="C689" s="920" t="s">
        <v>850</v>
      </c>
      <c r="D689" s="921" t="s">
        <v>819</v>
      </c>
      <c r="E689" s="948">
        <v>2250</v>
      </c>
    </row>
    <row r="690" spans="1:8" ht="17.100000000000001" customHeight="1">
      <c r="A690" s="812"/>
      <c r="B690" s="820"/>
      <c r="C690" s="920"/>
      <c r="D690" s="921"/>
      <c r="E690" s="948"/>
    </row>
    <row r="691" spans="1:8" ht="17.100000000000001" customHeight="1">
      <c r="A691" s="812"/>
      <c r="B691" s="820"/>
      <c r="C691" s="1620" t="s">
        <v>811</v>
      </c>
      <c r="D691" s="1632"/>
      <c r="E691" s="841">
        <f>SUM(E692:E694)</f>
        <v>215000</v>
      </c>
    </row>
    <row r="692" spans="1:8" ht="17.100000000000001" customHeight="1">
      <c r="A692" s="812"/>
      <c r="B692" s="820"/>
      <c r="C692" s="925" t="s">
        <v>397</v>
      </c>
      <c r="D692" s="926" t="s">
        <v>806</v>
      </c>
      <c r="E692" s="927">
        <v>200000</v>
      </c>
      <c r="H692" s="922"/>
    </row>
    <row r="693" spans="1:8" ht="17.100000000000001" customHeight="1">
      <c r="A693" s="812"/>
      <c r="B693" s="820"/>
      <c r="C693" s="920" t="s">
        <v>382</v>
      </c>
      <c r="D693" s="921" t="s">
        <v>819</v>
      </c>
      <c r="E693" s="948">
        <v>12750</v>
      </c>
    </row>
    <row r="694" spans="1:8" ht="17.100000000000001" customHeight="1" thickBot="1">
      <c r="A694" s="812"/>
      <c r="B694" s="820"/>
      <c r="C694" s="925" t="s">
        <v>850</v>
      </c>
      <c r="D694" s="926" t="s">
        <v>819</v>
      </c>
      <c r="E694" s="956">
        <v>2250</v>
      </c>
    </row>
    <row r="695" spans="1:8" ht="15" customHeight="1" thickBot="1">
      <c r="A695" s="812"/>
      <c r="B695" s="858" t="s">
        <v>234</v>
      </c>
      <c r="C695" s="859"/>
      <c r="D695" s="860" t="s">
        <v>235</v>
      </c>
      <c r="E695" s="973">
        <f>E696</f>
        <v>200000</v>
      </c>
    </row>
    <row r="696" spans="1:8">
      <c r="A696" s="812"/>
      <c r="B696" s="1587"/>
      <c r="C696" s="1583" t="s">
        <v>753</v>
      </c>
      <c r="D696" s="1583"/>
      <c r="E696" s="974">
        <f>SUM(E697)</f>
        <v>200000</v>
      </c>
    </row>
    <row r="697" spans="1:8">
      <c r="A697" s="812"/>
      <c r="B697" s="1587"/>
      <c r="C697" s="1627" t="s">
        <v>754</v>
      </c>
      <c r="D697" s="1627"/>
      <c r="E697" s="948">
        <f t="shared" ref="E697" si="66">SUM(E698,E704)</f>
        <v>200000</v>
      </c>
    </row>
    <row r="698" spans="1:8">
      <c r="A698" s="812"/>
      <c r="B698" s="1587"/>
      <c r="C698" s="1628" t="s">
        <v>755</v>
      </c>
      <c r="D698" s="1628"/>
      <c r="E698" s="841">
        <f t="shared" ref="E698" si="67">SUM(E699:E702)</f>
        <v>95000</v>
      </c>
    </row>
    <row r="699" spans="1:8">
      <c r="A699" s="812"/>
      <c r="B699" s="1587"/>
      <c r="C699" s="849" t="s">
        <v>538</v>
      </c>
      <c r="D699" s="921" t="s">
        <v>756</v>
      </c>
      <c r="E699" s="828">
        <v>76776</v>
      </c>
    </row>
    <row r="700" spans="1:8">
      <c r="A700" s="812"/>
      <c r="B700" s="1587"/>
      <c r="C700" s="920" t="s">
        <v>759</v>
      </c>
      <c r="D700" s="921" t="s">
        <v>760</v>
      </c>
      <c r="E700" s="828">
        <v>13343</v>
      </c>
    </row>
    <row r="701" spans="1:8">
      <c r="A701" s="812"/>
      <c r="B701" s="1587"/>
      <c r="C701" s="920" t="s">
        <v>761</v>
      </c>
      <c r="D701" s="921" t="s">
        <v>762</v>
      </c>
      <c r="E701" s="828">
        <v>1881</v>
      </c>
    </row>
    <row r="702" spans="1:8">
      <c r="A702" s="812"/>
      <c r="B702" s="1587"/>
      <c r="C702" s="920" t="s">
        <v>763</v>
      </c>
      <c r="D702" s="921" t="s">
        <v>764</v>
      </c>
      <c r="E702" s="828">
        <v>3000</v>
      </c>
    </row>
    <row r="703" spans="1:8">
      <c r="A703" s="812"/>
      <c r="B703" s="1587"/>
      <c r="C703" s="919"/>
      <c r="D703" s="919"/>
      <c r="E703" s="948"/>
    </row>
    <row r="704" spans="1:8" ht="12.75" customHeight="1">
      <c r="A704" s="812"/>
      <c r="B704" s="1587"/>
      <c r="C704" s="1620" t="s">
        <v>765</v>
      </c>
      <c r="D704" s="1620"/>
      <c r="E704" s="975">
        <f t="shared" ref="E704" si="68">SUM(E705:E708)</f>
        <v>105000</v>
      </c>
    </row>
    <row r="705" spans="1:5">
      <c r="A705" s="812"/>
      <c r="B705" s="1587"/>
      <c r="C705" s="920" t="s">
        <v>768</v>
      </c>
      <c r="D705" s="921" t="s">
        <v>769</v>
      </c>
      <c r="E705" s="948">
        <v>80000</v>
      </c>
    </row>
    <row r="706" spans="1:5">
      <c r="A706" s="812"/>
      <c r="B706" s="1587"/>
      <c r="C706" s="920" t="s">
        <v>517</v>
      </c>
      <c r="D706" s="921" t="s">
        <v>778</v>
      </c>
      <c r="E706" s="948">
        <v>15000</v>
      </c>
    </row>
    <row r="707" spans="1:5">
      <c r="A707" s="812"/>
      <c r="B707" s="1587"/>
      <c r="C707" s="925" t="s">
        <v>785</v>
      </c>
      <c r="D707" s="926" t="s">
        <v>786</v>
      </c>
      <c r="E707" s="956">
        <v>5000</v>
      </c>
    </row>
    <row r="708" spans="1:5">
      <c r="A708" s="812"/>
      <c r="B708" s="1587"/>
      <c r="C708" s="976" t="s">
        <v>799</v>
      </c>
      <c r="D708" s="971" t="s">
        <v>888</v>
      </c>
      <c r="E708" s="948">
        <v>5000</v>
      </c>
    </row>
    <row r="709" spans="1:5" ht="13.5" thickBot="1">
      <c r="A709" s="812"/>
      <c r="B709" s="837"/>
      <c r="C709" s="933"/>
      <c r="D709" s="934"/>
      <c r="E709" s="953"/>
    </row>
    <row r="710" spans="1:5" ht="17.100000000000001" customHeight="1" thickBot="1">
      <c r="A710" s="1656"/>
      <c r="B710" s="977" t="s">
        <v>271</v>
      </c>
      <c r="C710" s="978"/>
      <c r="D710" s="979" t="s">
        <v>213</v>
      </c>
      <c r="E710" s="861">
        <f>E711+E769</f>
        <v>14124034</v>
      </c>
    </row>
    <row r="711" spans="1:5" ht="17.100000000000001" customHeight="1">
      <c r="A711" s="1657"/>
      <c r="B711" s="1658"/>
      <c r="C711" s="1583" t="s">
        <v>753</v>
      </c>
      <c r="D711" s="1583"/>
      <c r="E711" s="817">
        <f>E712+E727+E734+E731</f>
        <v>13616034</v>
      </c>
    </row>
    <row r="712" spans="1:5" ht="17.100000000000001" customHeight="1">
      <c r="A712" s="812"/>
      <c r="B712" s="1590"/>
      <c r="C712" s="1627" t="s">
        <v>754</v>
      </c>
      <c r="D712" s="1627"/>
      <c r="E712" s="828">
        <f>E713+E716</f>
        <v>9824268</v>
      </c>
    </row>
    <row r="713" spans="1:5" ht="17.100000000000001" customHeight="1">
      <c r="A713" s="812"/>
      <c r="B713" s="1590"/>
      <c r="C713" s="1628" t="s">
        <v>755</v>
      </c>
      <c r="D713" s="1628"/>
      <c r="E713" s="841">
        <f>SUM(E714:E714)</f>
        <v>89150</v>
      </c>
    </row>
    <row r="714" spans="1:5" ht="17.100000000000001" customHeight="1">
      <c r="A714" s="812"/>
      <c r="B714" s="1590"/>
      <c r="C714" s="920" t="s">
        <v>763</v>
      </c>
      <c r="D714" s="921" t="s">
        <v>764</v>
      </c>
      <c r="E714" s="828">
        <v>89150</v>
      </c>
    </row>
    <row r="715" spans="1:5" ht="17.100000000000001" customHeight="1">
      <c r="A715" s="812"/>
      <c r="B715" s="1590"/>
      <c r="C715" s="838"/>
      <c r="D715" s="838"/>
      <c r="E715" s="825"/>
    </row>
    <row r="716" spans="1:5" ht="17.100000000000001" customHeight="1">
      <c r="A716" s="812"/>
      <c r="B716" s="1590"/>
      <c r="C716" s="1620" t="s">
        <v>765</v>
      </c>
      <c r="D716" s="1620"/>
      <c r="E716" s="841">
        <f>SUM(E717:E729)</f>
        <v>9735118</v>
      </c>
    </row>
    <row r="717" spans="1:5" ht="17.100000000000001" customHeight="1">
      <c r="A717" s="812"/>
      <c r="B717" s="1590"/>
      <c r="C717" s="920" t="s">
        <v>768</v>
      </c>
      <c r="D717" s="921" t="s">
        <v>769</v>
      </c>
      <c r="E717" s="828">
        <f>5000+20000+6000</f>
        <v>31000</v>
      </c>
    </row>
    <row r="718" spans="1:5" ht="17.100000000000001" customHeight="1">
      <c r="A718" s="812"/>
      <c r="B718" s="1590"/>
      <c r="C718" s="920" t="s">
        <v>517</v>
      </c>
      <c r="D718" s="921" t="s">
        <v>778</v>
      </c>
      <c r="E718" s="828">
        <f>11000+9024318+1000+16000</f>
        <v>9052318</v>
      </c>
    </row>
    <row r="719" spans="1:5" ht="17.100000000000001" customHeight="1">
      <c r="A719" s="812"/>
      <c r="B719" s="1590"/>
      <c r="C719" s="920" t="s">
        <v>884</v>
      </c>
      <c r="D719" s="921" t="s">
        <v>878</v>
      </c>
      <c r="E719" s="828">
        <f>3000+22000+3000</f>
        <v>28000</v>
      </c>
    </row>
    <row r="720" spans="1:5" ht="17.100000000000001" customHeight="1">
      <c r="A720" s="812"/>
      <c r="B720" s="1590"/>
      <c r="C720" s="920" t="s">
        <v>781</v>
      </c>
      <c r="D720" s="921" t="s">
        <v>782</v>
      </c>
      <c r="E720" s="828">
        <f>180000+15000+3000</f>
        <v>198000</v>
      </c>
    </row>
    <row r="721" spans="1:5" ht="17.100000000000001" customHeight="1">
      <c r="A721" s="812"/>
      <c r="B721" s="1590"/>
      <c r="C721" s="920" t="s">
        <v>785</v>
      </c>
      <c r="D721" s="921" t="s">
        <v>786</v>
      </c>
      <c r="E721" s="828">
        <f>6000+43200</f>
        <v>49200</v>
      </c>
    </row>
    <row r="722" spans="1:5" ht="17.100000000000001" customHeight="1">
      <c r="A722" s="812"/>
      <c r="B722" s="1590"/>
      <c r="C722" s="920" t="s">
        <v>853</v>
      </c>
      <c r="D722" s="921" t="s">
        <v>854</v>
      </c>
      <c r="E722" s="828">
        <v>10000</v>
      </c>
    </row>
    <row r="723" spans="1:5" ht="17.100000000000001" customHeight="1">
      <c r="A723" s="812"/>
      <c r="B723" s="1590"/>
      <c r="C723" s="920" t="s">
        <v>787</v>
      </c>
      <c r="D723" s="921" t="s">
        <v>788</v>
      </c>
      <c r="E723" s="828">
        <f>160000+110000</f>
        <v>270000</v>
      </c>
    </row>
    <row r="724" spans="1:5" ht="17.100000000000001" customHeight="1">
      <c r="A724" s="812"/>
      <c r="B724" s="1590"/>
      <c r="C724" s="920" t="s">
        <v>889</v>
      </c>
      <c r="D724" s="921" t="s">
        <v>890</v>
      </c>
      <c r="E724" s="828">
        <v>45000</v>
      </c>
    </row>
    <row r="725" spans="1:5" ht="13.5" customHeight="1">
      <c r="A725" s="812"/>
      <c r="B725" s="1590"/>
      <c r="C725" s="920" t="s">
        <v>825</v>
      </c>
      <c r="D725" s="921" t="s">
        <v>826</v>
      </c>
      <c r="E725" s="828">
        <f>25000+6600</f>
        <v>31600</v>
      </c>
    </row>
    <row r="726" spans="1:5" hidden="1">
      <c r="A726" s="812"/>
      <c r="B726" s="1590"/>
      <c r="C726" s="838"/>
      <c r="D726" s="838"/>
      <c r="E726" s="828">
        <v>0</v>
      </c>
    </row>
    <row r="727" spans="1:5" hidden="1">
      <c r="A727" s="812"/>
      <c r="B727" s="1590"/>
      <c r="C727" s="1621" t="s">
        <v>815</v>
      </c>
      <c r="D727" s="1621"/>
      <c r="E727" s="828">
        <v>0</v>
      </c>
    </row>
    <row r="728" spans="1:5" ht="25.5" hidden="1">
      <c r="A728" s="812"/>
      <c r="B728" s="1590"/>
      <c r="C728" s="925" t="s">
        <v>848</v>
      </c>
      <c r="D728" s="926" t="s">
        <v>891</v>
      </c>
      <c r="E728" s="828">
        <v>0</v>
      </c>
    </row>
    <row r="729" spans="1:5" ht="12.75" customHeight="1">
      <c r="A729" s="812"/>
      <c r="B729" s="1590"/>
      <c r="C729" s="920" t="s">
        <v>799</v>
      </c>
      <c r="D729" s="914" t="s">
        <v>888</v>
      </c>
      <c r="E729" s="828">
        <v>20000</v>
      </c>
    </row>
    <row r="730" spans="1:5" ht="17.100000000000001" customHeight="1">
      <c r="A730" s="812"/>
      <c r="B730" s="1590"/>
      <c r="C730" s="980"/>
      <c r="D730" s="980"/>
      <c r="E730" s="981"/>
    </row>
    <row r="731" spans="1:5" ht="17.100000000000001" customHeight="1">
      <c r="A731" s="812"/>
      <c r="B731" s="1590"/>
      <c r="C731" s="1621" t="s">
        <v>892</v>
      </c>
      <c r="D731" s="1621"/>
      <c r="E731" s="935">
        <f t="shared" ref="E731" si="69">E732</f>
        <v>4000</v>
      </c>
    </row>
    <row r="732" spans="1:5" ht="17.100000000000001" customHeight="1">
      <c r="A732" s="812"/>
      <c r="B732" s="1590"/>
      <c r="C732" s="920" t="s">
        <v>882</v>
      </c>
      <c r="D732" s="921" t="s">
        <v>885</v>
      </c>
      <c r="E732" s="935">
        <v>4000</v>
      </c>
    </row>
    <row r="733" spans="1:5" ht="17.100000000000001" customHeight="1">
      <c r="A733" s="812"/>
      <c r="B733" s="1590"/>
      <c r="C733" s="982"/>
      <c r="D733" s="983"/>
      <c r="E733" s="981"/>
    </row>
    <row r="734" spans="1:5" ht="17.100000000000001" customHeight="1">
      <c r="A734" s="812"/>
      <c r="B734" s="1590"/>
      <c r="C734" s="1659" t="s">
        <v>813</v>
      </c>
      <c r="D734" s="1602"/>
      <c r="E734" s="868">
        <f>SUM(E735:E767)</f>
        <v>3787766</v>
      </c>
    </row>
    <row r="735" spans="1:5" ht="57" customHeight="1">
      <c r="A735" s="812"/>
      <c r="B735" s="1590"/>
      <c r="C735" s="961" t="s">
        <v>434</v>
      </c>
      <c r="D735" s="883" t="s">
        <v>893</v>
      </c>
      <c r="E735" s="868">
        <v>472600</v>
      </c>
    </row>
    <row r="736" spans="1:5" ht="57" customHeight="1">
      <c r="A736" s="812"/>
      <c r="B736" s="1590"/>
      <c r="C736" s="961" t="s">
        <v>435</v>
      </c>
      <c r="D736" s="883" t="s">
        <v>893</v>
      </c>
      <c r="E736" s="868">
        <v>83400</v>
      </c>
    </row>
    <row r="737" spans="1:5" ht="17.100000000000001" customHeight="1">
      <c r="A737" s="812"/>
      <c r="B737" s="1590"/>
      <c r="C737" s="849" t="s">
        <v>362</v>
      </c>
      <c r="D737" s="921" t="s">
        <v>756</v>
      </c>
      <c r="E737" s="868">
        <f>32275+910006+241125</f>
        <v>1183406</v>
      </c>
    </row>
    <row r="738" spans="1:5" ht="17.100000000000001" customHeight="1">
      <c r="A738" s="812"/>
      <c r="B738" s="1590"/>
      <c r="C738" s="920" t="s">
        <v>363</v>
      </c>
      <c r="D738" s="921" t="s">
        <v>756</v>
      </c>
      <c r="E738" s="868">
        <f>5696+160589</f>
        <v>166285</v>
      </c>
    </row>
    <row r="739" spans="1:5" ht="17.100000000000001" customHeight="1">
      <c r="A739" s="812"/>
      <c r="B739" s="1590"/>
      <c r="C739" s="920" t="s">
        <v>364</v>
      </c>
      <c r="D739" s="921" t="s">
        <v>758</v>
      </c>
      <c r="E739" s="868">
        <f>53877+18000</f>
        <v>71877</v>
      </c>
    </row>
    <row r="740" spans="1:5" ht="17.100000000000001" customHeight="1">
      <c r="A740" s="812"/>
      <c r="B740" s="1590"/>
      <c r="C740" s="920" t="s">
        <v>365</v>
      </c>
      <c r="D740" s="921" t="s">
        <v>758</v>
      </c>
      <c r="E740" s="868">
        <v>9508</v>
      </c>
    </row>
    <row r="741" spans="1:5" ht="17.100000000000001" customHeight="1">
      <c r="A741" s="812"/>
      <c r="B741" s="1590"/>
      <c r="C741" s="920" t="s">
        <v>336</v>
      </c>
      <c r="D741" s="921" t="s">
        <v>760</v>
      </c>
      <c r="E741" s="868">
        <f>5609+173910+44693</f>
        <v>224212</v>
      </c>
    </row>
    <row r="742" spans="1:5" ht="17.100000000000001" customHeight="1">
      <c r="A742" s="812"/>
      <c r="B742" s="1590"/>
      <c r="C742" s="920" t="s">
        <v>337</v>
      </c>
      <c r="D742" s="921" t="s">
        <v>760</v>
      </c>
      <c r="E742" s="868">
        <f>990+30690</f>
        <v>31680</v>
      </c>
    </row>
    <row r="743" spans="1:5" ht="17.100000000000001" customHeight="1">
      <c r="A743" s="812"/>
      <c r="B743" s="1590"/>
      <c r="C743" s="920" t="s">
        <v>366</v>
      </c>
      <c r="D743" s="921" t="s">
        <v>762</v>
      </c>
      <c r="E743" s="868">
        <f>791+52207+4487</f>
        <v>57485</v>
      </c>
    </row>
    <row r="744" spans="1:5" ht="17.100000000000001" customHeight="1">
      <c r="A744" s="812"/>
      <c r="B744" s="1590"/>
      <c r="C744" s="920" t="s">
        <v>367</v>
      </c>
      <c r="D744" s="921" t="s">
        <v>762</v>
      </c>
      <c r="E744" s="868">
        <f>139+9213</f>
        <v>9352</v>
      </c>
    </row>
    <row r="745" spans="1:5" ht="17.100000000000001" customHeight="1">
      <c r="A745" s="812"/>
      <c r="B745" s="1590"/>
      <c r="C745" s="920" t="s">
        <v>338</v>
      </c>
      <c r="D745" s="921" t="s">
        <v>764</v>
      </c>
      <c r="E745" s="868">
        <v>5000</v>
      </c>
    </row>
    <row r="746" spans="1:5" ht="17.100000000000001" customHeight="1">
      <c r="A746" s="812"/>
      <c r="B746" s="1590"/>
      <c r="C746" s="920" t="s">
        <v>341</v>
      </c>
      <c r="D746" s="921" t="s">
        <v>769</v>
      </c>
      <c r="E746" s="868">
        <f>17000+150293+30000</f>
        <v>197293</v>
      </c>
    </row>
    <row r="747" spans="1:5" ht="17.100000000000001" customHeight="1">
      <c r="A747" s="812"/>
      <c r="B747" s="1590"/>
      <c r="C747" s="920" t="s">
        <v>342</v>
      </c>
      <c r="D747" s="921" t="s">
        <v>769</v>
      </c>
      <c r="E747" s="868">
        <f>3000+26522</f>
        <v>29522</v>
      </c>
    </row>
    <row r="748" spans="1:5" ht="17.100000000000001" customHeight="1">
      <c r="A748" s="812"/>
      <c r="B748" s="1590"/>
      <c r="C748" s="920" t="s">
        <v>372</v>
      </c>
      <c r="D748" s="921" t="s">
        <v>773</v>
      </c>
      <c r="E748" s="868">
        <v>15300</v>
      </c>
    </row>
    <row r="749" spans="1:5" ht="17.100000000000001" customHeight="1">
      <c r="A749" s="812"/>
      <c r="B749" s="1590"/>
      <c r="C749" s="920" t="s">
        <v>373</v>
      </c>
      <c r="D749" s="921" t="s">
        <v>773</v>
      </c>
      <c r="E749" s="868">
        <v>2700</v>
      </c>
    </row>
    <row r="750" spans="1:5" ht="17.100000000000001" customHeight="1">
      <c r="A750" s="812"/>
      <c r="B750" s="1590"/>
      <c r="C750" s="920" t="s">
        <v>440</v>
      </c>
      <c r="D750" s="921" t="s">
        <v>775</v>
      </c>
      <c r="E750" s="868">
        <f>1700+5000</f>
        <v>6700</v>
      </c>
    </row>
    <row r="751" spans="1:5" ht="17.100000000000001" customHeight="1">
      <c r="A751" s="812"/>
      <c r="B751" s="1590"/>
      <c r="C751" s="920" t="s">
        <v>441</v>
      </c>
      <c r="D751" s="921" t="s">
        <v>775</v>
      </c>
      <c r="E751" s="868">
        <v>300</v>
      </c>
    </row>
    <row r="752" spans="1:5" ht="17.100000000000001" customHeight="1">
      <c r="A752" s="812"/>
      <c r="B752" s="1590"/>
      <c r="C752" s="920" t="s">
        <v>343</v>
      </c>
      <c r="D752" s="921" t="s">
        <v>778</v>
      </c>
      <c r="E752" s="868">
        <f>17850+296650+592980</f>
        <v>907480</v>
      </c>
    </row>
    <row r="753" spans="1:5" ht="17.100000000000001" customHeight="1">
      <c r="A753" s="812"/>
      <c r="B753" s="1590"/>
      <c r="C753" s="920" t="s">
        <v>344</v>
      </c>
      <c r="D753" s="921" t="s">
        <v>778</v>
      </c>
      <c r="E753" s="868">
        <f>3150+52350</f>
        <v>55500</v>
      </c>
    </row>
    <row r="754" spans="1:5" ht="17.100000000000001" customHeight="1">
      <c r="A754" s="812"/>
      <c r="B754" s="1590"/>
      <c r="C754" s="920" t="s">
        <v>471</v>
      </c>
      <c r="D754" s="921" t="s">
        <v>780</v>
      </c>
      <c r="E754" s="868">
        <f>6800+3000</f>
        <v>9800</v>
      </c>
    </row>
    <row r="755" spans="1:5" ht="17.100000000000001" customHeight="1">
      <c r="A755" s="812"/>
      <c r="B755" s="1590"/>
      <c r="C755" s="920" t="s">
        <v>426</v>
      </c>
      <c r="D755" s="921" t="s">
        <v>780</v>
      </c>
      <c r="E755" s="868">
        <v>1200</v>
      </c>
    </row>
    <row r="756" spans="1:5" ht="17.100000000000001" customHeight="1">
      <c r="A756" s="812"/>
      <c r="B756" s="1590"/>
      <c r="C756" s="920" t="s">
        <v>358</v>
      </c>
      <c r="D756" s="921" t="s">
        <v>878</v>
      </c>
      <c r="E756" s="868">
        <f>2550+4250+6000</f>
        <v>12800</v>
      </c>
    </row>
    <row r="757" spans="1:5" ht="17.100000000000001" customHeight="1">
      <c r="A757" s="812"/>
      <c r="B757" s="1590"/>
      <c r="C757" s="920" t="s">
        <v>359</v>
      </c>
      <c r="D757" s="921" t="s">
        <v>878</v>
      </c>
      <c r="E757" s="868">
        <f>450+750</f>
        <v>1200</v>
      </c>
    </row>
    <row r="758" spans="1:5" ht="17.100000000000001" customHeight="1">
      <c r="A758" s="812"/>
      <c r="B758" s="1590"/>
      <c r="C758" s="920" t="s">
        <v>472</v>
      </c>
      <c r="D758" s="921" t="s">
        <v>784</v>
      </c>
      <c r="E758" s="868">
        <f>17000+40000</f>
        <v>57000</v>
      </c>
    </row>
    <row r="759" spans="1:5" ht="17.100000000000001" customHeight="1">
      <c r="A759" s="812"/>
      <c r="B759" s="1590"/>
      <c r="C759" s="920" t="s">
        <v>475</v>
      </c>
      <c r="D759" s="921" t="s">
        <v>784</v>
      </c>
      <c r="E759" s="868">
        <v>3000</v>
      </c>
    </row>
    <row r="760" spans="1:5" ht="17.100000000000001" customHeight="1">
      <c r="A760" s="812"/>
      <c r="B760" s="1590"/>
      <c r="C760" s="920" t="s">
        <v>345</v>
      </c>
      <c r="D760" s="921" t="s">
        <v>786</v>
      </c>
      <c r="E760" s="868">
        <f>3400+9932+22071</f>
        <v>35403</v>
      </c>
    </row>
    <row r="761" spans="1:5" ht="17.100000000000001" customHeight="1">
      <c r="A761" s="812"/>
      <c r="B761" s="1590"/>
      <c r="C761" s="920" t="s">
        <v>346</v>
      </c>
      <c r="D761" s="921" t="s">
        <v>786</v>
      </c>
      <c r="E761" s="868">
        <f>600+1753</f>
        <v>2353</v>
      </c>
    </row>
    <row r="762" spans="1:5" ht="17.100000000000001" customHeight="1">
      <c r="A762" s="812"/>
      <c r="B762" s="1590"/>
      <c r="C762" s="920" t="s">
        <v>376</v>
      </c>
      <c r="D762" s="921" t="s">
        <v>854</v>
      </c>
      <c r="E762" s="868">
        <f>4250+13242</f>
        <v>17492</v>
      </c>
    </row>
    <row r="763" spans="1:5" ht="17.100000000000001" customHeight="1">
      <c r="A763" s="812"/>
      <c r="B763" s="1590"/>
      <c r="C763" s="920" t="s">
        <v>377</v>
      </c>
      <c r="D763" s="921" t="s">
        <v>854</v>
      </c>
      <c r="E763" s="868">
        <v>750</v>
      </c>
    </row>
    <row r="764" spans="1:5" ht="17.100000000000001" customHeight="1">
      <c r="A764" s="812"/>
      <c r="B764" s="1590"/>
      <c r="C764" s="920" t="s">
        <v>378</v>
      </c>
      <c r="D764" s="921" t="s">
        <v>796</v>
      </c>
      <c r="E764" s="868">
        <v>1275</v>
      </c>
    </row>
    <row r="765" spans="1:5" ht="17.100000000000001" customHeight="1">
      <c r="A765" s="812"/>
      <c r="B765" s="1590"/>
      <c r="C765" s="925" t="s">
        <v>379</v>
      </c>
      <c r="D765" s="921" t="s">
        <v>796</v>
      </c>
      <c r="E765" s="868">
        <v>225</v>
      </c>
    </row>
    <row r="766" spans="1:5" ht="17.100000000000001" customHeight="1">
      <c r="A766" s="812"/>
      <c r="B766" s="1590"/>
      <c r="C766" s="984" t="s">
        <v>380</v>
      </c>
      <c r="D766" s="914" t="s">
        <v>888</v>
      </c>
      <c r="E766" s="868">
        <f>91800+7668</f>
        <v>99468</v>
      </c>
    </row>
    <row r="767" spans="1:5" ht="17.100000000000001" customHeight="1">
      <c r="A767" s="1642"/>
      <c r="B767" s="1590"/>
      <c r="C767" s="984" t="s">
        <v>381</v>
      </c>
      <c r="D767" s="985" t="s">
        <v>888</v>
      </c>
      <c r="E767" s="927">
        <v>16200</v>
      </c>
    </row>
    <row r="768" spans="1:5" ht="17.100000000000001" customHeight="1">
      <c r="A768" s="1642"/>
      <c r="B768" s="1590"/>
      <c r="C768" s="986"/>
      <c r="D768" s="914"/>
      <c r="E768" s="945"/>
    </row>
    <row r="769" spans="1:5" ht="17.100000000000001" customHeight="1">
      <c r="A769" s="1642"/>
      <c r="B769" s="1590"/>
      <c r="C769" s="1647" t="s">
        <v>804</v>
      </c>
      <c r="D769" s="1648"/>
      <c r="E769" s="987">
        <f>E770</f>
        <v>508000</v>
      </c>
    </row>
    <row r="770" spans="1:5" ht="17.100000000000001" customHeight="1">
      <c r="A770" s="1642"/>
      <c r="B770" s="1590"/>
      <c r="C770" s="1649" t="s">
        <v>805</v>
      </c>
      <c r="D770" s="1650"/>
      <c r="E770" s="818">
        <f>SUM(E771:E773)</f>
        <v>508000</v>
      </c>
    </row>
    <row r="771" spans="1:5" ht="17.100000000000001" customHeight="1">
      <c r="A771" s="1642"/>
      <c r="B771" s="1590"/>
      <c r="C771" s="988" t="s">
        <v>405</v>
      </c>
      <c r="D771" s="989" t="s">
        <v>806</v>
      </c>
      <c r="E771" s="818">
        <v>250000</v>
      </c>
    </row>
    <row r="772" spans="1:5" ht="17.100000000000001" customHeight="1">
      <c r="A772" s="1642"/>
      <c r="B772" s="1590"/>
      <c r="C772" s="988" t="s">
        <v>382</v>
      </c>
      <c r="D772" s="921" t="s">
        <v>819</v>
      </c>
      <c r="E772" s="948">
        <v>8000</v>
      </c>
    </row>
    <row r="773" spans="1:5" ht="38.25">
      <c r="A773" s="1642"/>
      <c r="B773" s="893"/>
      <c r="C773" s="920" t="s">
        <v>894</v>
      </c>
      <c r="D773" s="921" t="s">
        <v>895</v>
      </c>
      <c r="E773" s="948">
        <v>250000</v>
      </c>
    </row>
    <row r="774" spans="1:5" ht="17.100000000000001" customHeight="1">
      <c r="A774" s="1642"/>
      <c r="B774" s="893"/>
      <c r="C774" s="933"/>
      <c r="D774" s="934"/>
      <c r="E774" s="831"/>
    </row>
    <row r="775" spans="1:5" ht="17.100000000000001" customHeight="1">
      <c r="A775" s="1642"/>
      <c r="B775" s="893"/>
      <c r="C775" s="1651" t="s">
        <v>811</v>
      </c>
      <c r="D775" s="1652"/>
      <c r="E775" s="841">
        <f>SUM(E776:E776)</f>
        <v>8000</v>
      </c>
    </row>
    <row r="776" spans="1:5" ht="17.100000000000001" customHeight="1" thickBot="1">
      <c r="A776" s="812"/>
      <c r="B776" s="893"/>
      <c r="C776" s="988" t="s">
        <v>382</v>
      </c>
      <c r="D776" s="921" t="s">
        <v>819</v>
      </c>
      <c r="E776" s="948">
        <v>8000</v>
      </c>
    </row>
    <row r="777" spans="1:5" ht="17.100000000000001" customHeight="1" thickBot="1">
      <c r="A777" s="807" t="s">
        <v>123</v>
      </c>
      <c r="B777" s="808"/>
      <c r="C777" s="809"/>
      <c r="D777" s="810" t="s">
        <v>896</v>
      </c>
      <c r="E777" s="811">
        <f>E778+E782+E790+E794</f>
        <v>1260000</v>
      </c>
    </row>
    <row r="778" spans="1:5" ht="13.5" thickBot="1">
      <c r="A778" s="812"/>
      <c r="B778" s="858" t="s">
        <v>124</v>
      </c>
      <c r="C778" s="859"/>
      <c r="D778" s="860" t="s">
        <v>897</v>
      </c>
      <c r="E778" s="861">
        <f t="shared" ref="E778" si="70">SUM(E779)</f>
        <v>350000</v>
      </c>
    </row>
    <row r="779" spans="1:5" ht="17.100000000000001" customHeight="1">
      <c r="A779" s="812"/>
      <c r="B779" s="1590"/>
      <c r="C779" s="1593" t="s">
        <v>804</v>
      </c>
      <c r="D779" s="1653"/>
      <c r="E779" s="817">
        <f t="shared" ref="E779:E780" si="71">E780</f>
        <v>350000</v>
      </c>
    </row>
    <row r="780" spans="1:5" ht="17.100000000000001" customHeight="1">
      <c r="A780" s="812"/>
      <c r="B780" s="1590"/>
      <c r="C780" s="1654" t="s">
        <v>805</v>
      </c>
      <c r="D780" s="1655"/>
      <c r="E780" s="828">
        <f t="shared" si="71"/>
        <v>350000</v>
      </c>
    </row>
    <row r="781" spans="1:5" ht="29.25" customHeight="1" thickBot="1">
      <c r="A781" s="812"/>
      <c r="B781" s="1590"/>
      <c r="C781" s="990" t="s">
        <v>898</v>
      </c>
      <c r="D781" s="991" t="s">
        <v>899</v>
      </c>
      <c r="E781" s="927">
        <v>350000</v>
      </c>
    </row>
    <row r="782" spans="1:5" ht="17.100000000000001" customHeight="1" thickBot="1">
      <c r="A782" s="812"/>
      <c r="B782" s="858" t="s">
        <v>125</v>
      </c>
      <c r="C782" s="859"/>
      <c r="D782" s="860" t="s">
        <v>900</v>
      </c>
      <c r="E782" s="861">
        <f t="shared" ref="E782" si="72">E783+E787</f>
        <v>150000</v>
      </c>
    </row>
    <row r="783" spans="1:5" ht="17.100000000000001" hidden="1" customHeight="1">
      <c r="A783" s="812"/>
      <c r="B783" s="1587"/>
      <c r="C783" s="1583" t="s">
        <v>753</v>
      </c>
      <c r="D783" s="1661"/>
      <c r="E783" s="992"/>
    </row>
    <row r="784" spans="1:5" ht="17.100000000000001" hidden="1" customHeight="1">
      <c r="A784" s="812"/>
      <c r="B784" s="1587"/>
      <c r="C784" s="1654" t="s">
        <v>815</v>
      </c>
      <c r="D784" s="1662"/>
      <c r="E784" s="993"/>
    </row>
    <row r="785" spans="1:5" ht="17.100000000000001" hidden="1" customHeight="1">
      <c r="A785" s="812"/>
      <c r="B785" s="1587"/>
      <c r="C785" s="988" t="s">
        <v>901</v>
      </c>
      <c r="D785" s="994" t="s">
        <v>902</v>
      </c>
      <c r="E785" s="993"/>
    </row>
    <row r="786" spans="1:5" ht="17.100000000000001" hidden="1" customHeight="1">
      <c r="A786" s="812"/>
      <c r="B786" s="1590"/>
      <c r="C786" s="1663"/>
      <c r="D786" s="1664"/>
      <c r="E786" s="995"/>
    </row>
    <row r="787" spans="1:5" ht="17.100000000000001" customHeight="1">
      <c r="A787" s="812"/>
      <c r="B787" s="1590"/>
      <c r="C787" s="1665" t="s">
        <v>804</v>
      </c>
      <c r="D787" s="1666"/>
      <c r="E787" s="996">
        <f t="shared" ref="E787:E788" si="73">E788</f>
        <v>150000</v>
      </c>
    </row>
    <row r="788" spans="1:5" ht="17.100000000000001" customHeight="1">
      <c r="A788" s="812"/>
      <c r="B788" s="1590"/>
      <c r="C788" s="1654" t="s">
        <v>805</v>
      </c>
      <c r="D788" s="1655"/>
      <c r="E788" s="997">
        <f t="shared" si="73"/>
        <v>150000</v>
      </c>
    </row>
    <row r="789" spans="1:5" ht="27" customHeight="1" thickBot="1">
      <c r="A789" s="812"/>
      <c r="B789" s="1660"/>
      <c r="C789" s="998" t="s">
        <v>898</v>
      </c>
      <c r="D789" s="999" t="s">
        <v>899</v>
      </c>
      <c r="E789" s="1000">
        <v>150000</v>
      </c>
    </row>
    <row r="790" spans="1:5" ht="17.25" customHeight="1" thickBot="1">
      <c r="A790" s="812"/>
      <c r="B790" s="858" t="s">
        <v>126</v>
      </c>
      <c r="C790" s="859"/>
      <c r="D790" s="860" t="s">
        <v>903</v>
      </c>
      <c r="E790" s="1001">
        <f t="shared" ref="E790:E792" si="74">E791</f>
        <v>400000</v>
      </c>
    </row>
    <row r="791" spans="1:5" ht="17.100000000000001" customHeight="1">
      <c r="A791" s="812"/>
      <c r="B791" s="1642"/>
      <c r="C791" s="1583" t="s">
        <v>804</v>
      </c>
      <c r="D791" s="1583"/>
      <c r="E791" s="1002">
        <f t="shared" si="74"/>
        <v>400000</v>
      </c>
    </row>
    <row r="792" spans="1:5" ht="17.100000000000001" customHeight="1">
      <c r="A792" s="812"/>
      <c r="B792" s="1642"/>
      <c r="C792" s="1654" t="s">
        <v>805</v>
      </c>
      <c r="D792" s="1655"/>
      <c r="E792" s="997">
        <f t="shared" si="74"/>
        <v>400000</v>
      </c>
    </row>
    <row r="793" spans="1:5" ht="27" customHeight="1" thickBot="1">
      <c r="A793" s="812"/>
      <c r="B793" s="1642"/>
      <c r="C793" s="990" t="s">
        <v>898</v>
      </c>
      <c r="D793" s="991" t="s">
        <v>899</v>
      </c>
      <c r="E793" s="1003">
        <v>400000</v>
      </c>
    </row>
    <row r="794" spans="1:5" ht="17.100000000000001" customHeight="1" thickBot="1">
      <c r="A794" s="812"/>
      <c r="B794" s="858" t="s">
        <v>904</v>
      </c>
      <c r="C794" s="859"/>
      <c r="D794" s="860" t="s">
        <v>905</v>
      </c>
      <c r="E794" s="1001">
        <f t="shared" ref="E794:E796" si="75">E795</f>
        <v>360000</v>
      </c>
    </row>
    <row r="795" spans="1:5" ht="17.100000000000001" customHeight="1">
      <c r="A795" s="812"/>
      <c r="B795" s="1587"/>
      <c r="C795" s="1583" t="s">
        <v>753</v>
      </c>
      <c r="D795" s="1583"/>
      <c r="E795" s="1002">
        <f t="shared" si="75"/>
        <v>360000</v>
      </c>
    </row>
    <row r="796" spans="1:5" ht="17.100000000000001" customHeight="1">
      <c r="A796" s="812"/>
      <c r="B796" s="1587"/>
      <c r="C796" s="1654" t="s">
        <v>815</v>
      </c>
      <c r="D796" s="1654"/>
      <c r="E796" s="997">
        <f t="shared" si="75"/>
        <v>360000</v>
      </c>
    </row>
    <row r="797" spans="1:5" ht="44.25" customHeight="1">
      <c r="A797" s="902"/>
      <c r="B797" s="1613"/>
      <c r="C797" s="1004" t="s">
        <v>827</v>
      </c>
      <c r="D797" s="1005" t="s">
        <v>828</v>
      </c>
      <c r="E797" s="997">
        <v>360000</v>
      </c>
    </row>
    <row r="798" spans="1:5" ht="17.100000000000001" customHeight="1" thickBot="1">
      <c r="A798" s="904" t="s">
        <v>906</v>
      </c>
      <c r="B798" s="905"/>
      <c r="C798" s="906"/>
      <c r="D798" s="907" t="s">
        <v>907</v>
      </c>
      <c r="E798" s="1006">
        <f t="shared" ref="E798" si="76">E799+E803</f>
        <v>21285562</v>
      </c>
    </row>
    <row r="799" spans="1:5" ht="30" customHeight="1" thickBot="1">
      <c r="A799" s="812"/>
      <c r="B799" s="858" t="s">
        <v>908</v>
      </c>
      <c r="C799" s="859"/>
      <c r="D799" s="1007" t="s">
        <v>909</v>
      </c>
      <c r="E799" s="1008">
        <f t="shared" ref="E799:E801" si="77">E800</f>
        <v>11000000</v>
      </c>
    </row>
    <row r="800" spans="1:5" ht="17.100000000000001" customHeight="1">
      <c r="A800" s="812"/>
      <c r="B800" s="1587"/>
      <c r="C800" s="1583" t="s">
        <v>753</v>
      </c>
      <c r="D800" s="1661"/>
      <c r="E800" s="992">
        <f t="shared" si="77"/>
        <v>11000000</v>
      </c>
    </row>
    <row r="801" spans="1:5" ht="17.100000000000001" customHeight="1">
      <c r="A801" s="812"/>
      <c r="B801" s="1587"/>
      <c r="C801" s="1667" t="s">
        <v>910</v>
      </c>
      <c r="D801" s="1668"/>
      <c r="E801" s="993">
        <f t="shared" si="77"/>
        <v>11000000</v>
      </c>
    </row>
    <row r="802" spans="1:5" ht="27.75" customHeight="1" thickBot="1">
      <c r="A802" s="812"/>
      <c r="B802" s="1587"/>
      <c r="C802" s="990" t="s">
        <v>911</v>
      </c>
      <c r="D802" s="1009" t="s">
        <v>912</v>
      </c>
      <c r="E802" s="1010">
        <v>11000000</v>
      </c>
    </row>
    <row r="803" spans="1:5" ht="26.25" customHeight="1" thickBot="1">
      <c r="A803" s="812"/>
      <c r="B803" s="858" t="s">
        <v>913</v>
      </c>
      <c r="C803" s="859"/>
      <c r="D803" s="1007" t="s">
        <v>914</v>
      </c>
      <c r="E803" s="1008">
        <f t="shared" ref="E803:E805" si="78">E804</f>
        <v>10285562</v>
      </c>
    </row>
    <row r="804" spans="1:5" ht="17.100000000000001" customHeight="1">
      <c r="A804" s="1011"/>
      <c r="B804" s="1587"/>
      <c r="C804" s="1583" t="s">
        <v>753</v>
      </c>
      <c r="D804" s="1661"/>
      <c r="E804" s="992">
        <f t="shared" si="78"/>
        <v>10285562</v>
      </c>
    </row>
    <row r="805" spans="1:5" ht="17.100000000000001" customHeight="1">
      <c r="A805" s="1011"/>
      <c r="B805" s="1587"/>
      <c r="C805" s="1667" t="s">
        <v>915</v>
      </c>
      <c r="D805" s="1668"/>
      <c r="E805" s="993">
        <f t="shared" si="78"/>
        <v>10285562</v>
      </c>
    </row>
    <row r="806" spans="1:5" ht="17.100000000000001" customHeight="1" thickBot="1">
      <c r="A806" s="812"/>
      <c r="B806" s="1673"/>
      <c r="C806" s="998" t="s">
        <v>916</v>
      </c>
      <c r="D806" s="1012" t="s">
        <v>917</v>
      </c>
      <c r="E806" s="1013">
        <f>5060562+5225000</f>
        <v>10285562</v>
      </c>
    </row>
    <row r="807" spans="1:5" ht="17.100000000000001" customHeight="1" thickBot="1">
      <c r="A807" s="807" t="s">
        <v>918</v>
      </c>
      <c r="B807" s="808"/>
      <c r="C807" s="809"/>
      <c r="D807" s="1014" t="s">
        <v>919</v>
      </c>
      <c r="E807" s="1015">
        <f t="shared" ref="E807" si="79">E808</f>
        <v>45788999</v>
      </c>
    </row>
    <row r="808" spans="1:5" ht="17.100000000000001" customHeight="1" thickBot="1">
      <c r="A808" s="812"/>
      <c r="B808" s="858" t="s">
        <v>920</v>
      </c>
      <c r="C808" s="859"/>
      <c r="D808" s="1007" t="s">
        <v>921</v>
      </c>
      <c r="E808" s="1008">
        <f t="shared" ref="E808" si="80">E809+E814</f>
        <v>45788999</v>
      </c>
    </row>
    <row r="809" spans="1:5" ht="17.100000000000001" customHeight="1">
      <c r="A809" s="812"/>
      <c r="B809" s="1587"/>
      <c r="C809" s="1583" t="s">
        <v>753</v>
      </c>
      <c r="D809" s="1661"/>
      <c r="E809" s="992">
        <f t="shared" ref="E809:E811" si="81">E810</f>
        <v>19288999</v>
      </c>
    </row>
    <row r="810" spans="1:5" ht="17.100000000000001" customHeight="1">
      <c r="A810" s="812"/>
      <c r="B810" s="1587"/>
      <c r="C810" s="1667" t="s">
        <v>754</v>
      </c>
      <c r="D810" s="1668"/>
      <c r="E810" s="993">
        <f t="shared" si="81"/>
        <v>19288999</v>
      </c>
    </row>
    <row r="811" spans="1:5" ht="17.100000000000001" customHeight="1">
      <c r="A811" s="812"/>
      <c r="B811" s="1587"/>
      <c r="C811" s="1669" t="s">
        <v>765</v>
      </c>
      <c r="D811" s="1670"/>
      <c r="E811" s="1016">
        <f t="shared" si="81"/>
        <v>19288999</v>
      </c>
    </row>
    <row r="812" spans="1:5" ht="17.100000000000001" customHeight="1">
      <c r="A812" s="812"/>
      <c r="B812" s="1587"/>
      <c r="C812" s="990" t="s">
        <v>922</v>
      </c>
      <c r="D812" s="1009" t="s">
        <v>923</v>
      </c>
      <c r="E812" s="1010">
        <v>19288999</v>
      </c>
    </row>
    <row r="813" spans="1:5" ht="17.100000000000001" customHeight="1">
      <c r="A813" s="812"/>
      <c r="B813" s="1587"/>
      <c r="C813" s="1017"/>
      <c r="D813" s="1018"/>
      <c r="E813" s="1019"/>
    </row>
    <row r="814" spans="1:5" ht="17.100000000000001" customHeight="1">
      <c r="A814" s="812"/>
      <c r="B814" s="1587"/>
      <c r="C814" s="1593" t="s">
        <v>804</v>
      </c>
      <c r="D814" s="1671"/>
      <c r="E814" s="992">
        <f t="shared" ref="E814:E815" si="82">E815</f>
        <v>26500000</v>
      </c>
    </row>
    <row r="815" spans="1:5" ht="17.100000000000001" customHeight="1">
      <c r="A815" s="812"/>
      <c r="B815" s="1587"/>
      <c r="C815" s="1654" t="s">
        <v>805</v>
      </c>
      <c r="D815" s="1672"/>
      <c r="E815" s="993">
        <f t="shared" si="82"/>
        <v>26500000</v>
      </c>
    </row>
    <row r="816" spans="1:5" ht="17.100000000000001" customHeight="1" thickBot="1">
      <c r="A816" s="812"/>
      <c r="B816" s="1587"/>
      <c r="C816" s="829" t="s">
        <v>924</v>
      </c>
      <c r="D816" s="1020" t="s">
        <v>925</v>
      </c>
      <c r="E816" s="1010">
        <f>26000000+500000</f>
        <v>26500000</v>
      </c>
    </row>
    <row r="817" spans="1:5" ht="13.5" thickBot="1">
      <c r="A817" s="807" t="s">
        <v>926</v>
      </c>
      <c r="B817" s="808"/>
      <c r="C817" s="1021"/>
      <c r="D817" s="1022" t="s">
        <v>927</v>
      </c>
      <c r="E817" s="811">
        <f>SUM(E818,E846,E863,E880,E931,E988,E1050,E1035)</f>
        <v>61715346</v>
      </c>
    </row>
    <row r="818" spans="1:5" ht="17.100000000000001" customHeight="1" thickBot="1">
      <c r="A818" s="1023"/>
      <c r="B818" s="858" t="s">
        <v>928</v>
      </c>
      <c r="C818" s="859"/>
      <c r="D818" s="860" t="s">
        <v>697</v>
      </c>
      <c r="E818" s="861">
        <f>E819+E843</f>
        <v>5479869</v>
      </c>
    </row>
    <row r="819" spans="1:5" ht="17.100000000000001" customHeight="1">
      <c r="A819" s="812"/>
      <c r="B819" s="820"/>
      <c r="C819" s="1583" t="s">
        <v>753</v>
      </c>
      <c r="D819" s="1583"/>
      <c r="E819" s="817">
        <f>E820+E840</f>
        <v>5454869</v>
      </c>
    </row>
    <row r="820" spans="1:5" ht="17.100000000000001" customHeight="1">
      <c r="A820" s="812"/>
      <c r="B820" s="820"/>
      <c r="C820" s="1667" t="s">
        <v>754</v>
      </c>
      <c r="D820" s="1667"/>
      <c r="E820" s="828">
        <f t="shared" ref="E820" si="83">E821+E828</f>
        <v>5324569</v>
      </c>
    </row>
    <row r="821" spans="1:5" ht="17.100000000000001" customHeight="1">
      <c r="A821" s="812"/>
      <c r="B821" s="820"/>
      <c r="C821" s="1681" t="s">
        <v>755</v>
      </c>
      <c r="D821" s="1681"/>
      <c r="E821" s="841">
        <f t="shared" ref="E821" si="84">SUM(E822:E826)</f>
        <v>4966644</v>
      </c>
    </row>
    <row r="822" spans="1:5" ht="17.100000000000001" customHeight="1">
      <c r="A822" s="812"/>
      <c r="B822" s="820"/>
      <c r="C822" s="988" t="s">
        <v>538</v>
      </c>
      <c r="D822" s="921" t="s">
        <v>756</v>
      </c>
      <c r="E822" s="828">
        <v>3830430</v>
      </c>
    </row>
    <row r="823" spans="1:5" ht="17.100000000000001" customHeight="1">
      <c r="A823" s="812"/>
      <c r="B823" s="820"/>
      <c r="C823" s="988" t="s">
        <v>757</v>
      </c>
      <c r="D823" s="921" t="s">
        <v>758</v>
      </c>
      <c r="E823" s="828">
        <v>309868</v>
      </c>
    </row>
    <row r="824" spans="1:5" ht="17.100000000000001" customHeight="1">
      <c r="A824" s="812"/>
      <c r="B824" s="820"/>
      <c r="C824" s="988" t="s">
        <v>759</v>
      </c>
      <c r="D824" s="921" t="s">
        <v>760</v>
      </c>
      <c r="E824" s="828">
        <v>723814</v>
      </c>
    </row>
    <row r="825" spans="1:5" ht="17.100000000000001" customHeight="1">
      <c r="A825" s="812"/>
      <c r="B825" s="820"/>
      <c r="C825" s="988" t="s">
        <v>761</v>
      </c>
      <c r="D825" s="921" t="s">
        <v>762</v>
      </c>
      <c r="E825" s="828">
        <v>100732</v>
      </c>
    </row>
    <row r="826" spans="1:5" ht="17.100000000000001" customHeight="1">
      <c r="A826" s="812"/>
      <c r="B826" s="820"/>
      <c r="C826" s="988" t="s">
        <v>763</v>
      </c>
      <c r="D826" s="921" t="s">
        <v>929</v>
      </c>
      <c r="E826" s="828">
        <v>1800</v>
      </c>
    </row>
    <row r="827" spans="1:5" ht="17.100000000000001" customHeight="1">
      <c r="A827" s="812"/>
      <c r="B827" s="820"/>
      <c r="C827" s="838"/>
      <c r="D827" s="838"/>
      <c r="E827" s="825"/>
    </row>
    <row r="828" spans="1:5" ht="17.100000000000001" customHeight="1">
      <c r="A828" s="812"/>
      <c r="B828" s="820"/>
      <c r="C828" s="1669" t="s">
        <v>765</v>
      </c>
      <c r="D828" s="1669"/>
      <c r="E828" s="841">
        <f>SUM(E829:E838)</f>
        <v>357925</v>
      </c>
    </row>
    <row r="829" spans="1:5" ht="17.100000000000001" customHeight="1">
      <c r="A829" s="812"/>
      <c r="B829" s="820"/>
      <c r="C829" s="988" t="s">
        <v>768</v>
      </c>
      <c r="D829" s="921" t="s">
        <v>769</v>
      </c>
      <c r="E829" s="828">
        <v>27362</v>
      </c>
    </row>
    <row r="830" spans="1:5" ht="17.100000000000001" customHeight="1">
      <c r="A830" s="812"/>
      <c r="B830" s="820"/>
      <c r="C830" s="988" t="s">
        <v>872</v>
      </c>
      <c r="D830" s="921" t="s">
        <v>873</v>
      </c>
      <c r="E830" s="828">
        <v>6342</v>
      </c>
    </row>
    <row r="831" spans="1:5" ht="17.100000000000001" customHeight="1">
      <c r="A831" s="812"/>
      <c r="B831" s="820"/>
      <c r="C831" s="988" t="s">
        <v>774</v>
      </c>
      <c r="D831" s="921" t="s">
        <v>775</v>
      </c>
      <c r="E831" s="828">
        <v>3100</v>
      </c>
    </row>
    <row r="832" spans="1:5" ht="17.100000000000001" customHeight="1">
      <c r="A832" s="812"/>
      <c r="B832" s="820"/>
      <c r="C832" s="990" t="s">
        <v>776</v>
      </c>
      <c r="D832" s="991" t="s">
        <v>777</v>
      </c>
      <c r="E832" s="828">
        <v>4096</v>
      </c>
    </row>
    <row r="833" spans="1:5" ht="17.100000000000001" customHeight="1">
      <c r="A833" s="812"/>
      <c r="B833" s="820"/>
      <c r="C833" s="931" t="s">
        <v>517</v>
      </c>
      <c r="D833" s="932" t="s">
        <v>778</v>
      </c>
      <c r="E833" s="828">
        <v>33931</v>
      </c>
    </row>
    <row r="834" spans="1:5" ht="16.5" customHeight="1">
      <c r="A834" s="812"/>
      <c r="B834" s="820"/>
      <c r="C834" s="849" t="s">
        <v>779</v>
      </c>
      <c r="D834" s="850" t="s">
        <v>780</v>
      </c>
      <c r="E834" s="828">
        <v>9373</v>
      </c>
    </row>
    <row r="835" spans="1:5" ht="17.100000000000001" customHeight="1">
      <c r="A835" s="812"/>
      <c r="B835" s="820"/>
      <c r="C835" s="988" t="s">
        <v>783</v>
      </c>
      <c r="D835" s="921" t="s">
        <v>784</v>
      </c>
      <c r="E835" s="828">
        <v>64890</v>
      </c>
    </row>
    <row r="836" spans="1:5" ht="17.100000000000001" customHeight="1">
      <c r="A836" s="812"/>
      <c r="B836" s="820"/>
      <c r="C836" s="988" t="s">
        <v>785</v>
      </c>
      <c r="D836" s="921" t="s">
        <v>786</v>
      </c>
      <c r="E836" s="828">
        <v>3225</v>
      </c>
    </row>
    <row r="837" spans="1:5" ht="17.100000000000001" customHeight="1">
      <c r="A837" s="812"/>
      <c r="B837" s="820"/>
      <c r="C837" s="988" t="s">
        <v>789</v>
      </c>
      <c r="D837" s="921" t="s">
        <v>790</v>
      </c>
      <c r="E837" s="828">
        <v>202194</v>
      </c>
    </row>
    <row r="838" spans="1:5" ht="17.100000000000001" customHeight="1">
      <c r="A838" s="812"/>
      <c r="B838" s="1642"/>
      <c r="C838" s="988" t="s">
        <v>799</v>
      </c>
      <c r="D838" s="921" t="s">
        <v>800</v>
      </c>
      <c r="E838" s="828">
        <v>3412</v>
      </c>
    </row>
    <row r="839" spans="1:5" ht="17.100000000000001" customHeight="1">
      <c r="A839" s="812"/>
      <c r="B839" s="1642"/>
      <c r="C839" s="838"/>
      <c r="D839" s="838"/>
      <c r="E839" s="825"/>
    </row>
    <row r="840" spans="1:5" ht="17.100000000000001" customHeight="1">
      <c r="A840" s="812"/>
      <c r="B840" s="1642"/>
      <c r="C840" s="1654" t="s">
        <v>892</v>
      </c>
      <c r="D840" s="1654"/>
      <c r="E840" s="828">
        <f t="shared" ref="E840" si="85">E841</f>
        <v>130300</v>
      </c>
    </row>
    <row r="841" spans="1:5" ht="17.100000000000001" customHeight="1">
      <c r="A841" s="812"/>
      <c r="B841" s="1642"/>
      <c r="C841" s="990" t="s">
        <v>802</v>
      </c>
      <c r="D841" s="991" t="s">
        <v>803</v>
      </c>
      <c r="E841" s="927">
        <v>130300</v>
      </c>
    </row>
    <row r="842" spans="1:5" ht="17.100000000000001" customHeight="1">
      <c r="A842" s="812"/>
      <c r="B842" s="820"/>
      <c r="C842" s="1024"/>
      <c r="D842" s="1025"/>
      <c r="E842" s="828"/>
    </row>
    <row r="843" spans="1:5" ht="17.100000000000001" customHeight="1">
      <c r="A843" s="812"/>
      <c r="B843" s="820"/>
      <c r="C843" s="1674" t="s">
        <v>804</v>
      </c>
      <c r="D843" s="1648"/>
      <c r="E843" s="947">
        <f t="shared" ref="E843" si="86">E844</f>
        <v>25000</v>
      </c>
    </row>
    <row r="844" spans="1:5" ht="17.100000000000001" customHeight="1">
      <c r="A844" s="812"/>
      <c r="B844" s="820"/>
      <c r="C844" s="1675" t="s">
        <v>805</v>
      </c>
      <c r="D844" s="1676"/>
      <c r="E844" s="948">
        <f>SUM(E845)</f>
        <v>25000</v>
      </c>
    </row>
    <row r="845" spans="1:5" ht="15.75" customHeight="1" thickBot="1">
      <c r="A845" s="812"/>
      <c r="B845" s="820"/>
      <c r="C845" s="1026" t="s">
        <v>401</v>
      </c>
      <c r="D845" s="1027" t="s">
        <v>819</v>
      </c>
      <c r="E845" s="1028">
        <v>25000</v>
      </c>
    </row>
    <row r="846" spans="1:5" ht="17.100000000000001" customHeight="1" thickBot="1">
      <c r="A846" s="812"/>
      <c r="B846" s="858" t="s">
        <v>930</v>
      </c>
      <c r="C846" s="859"/>
      <c r="D846" s="860" t="s">
        <v>931</v>
      </c>
      <c r="E846" s="861">
        <f t="shared" ref="E846" si="87">E847</f>
        <v>2304296</v>
      </c>
    </row>
    <row r="847" spans="1:5" ht="17.100000000000001" customHeight="1">
      <c r="A847" s="812"/>
      <c r="B847" s="1642"/>
      <c r="C847" s="1583" t="s">
        <v>753</v>
      </c>
      <c r="D847" s="1583"/>
      <c r="E847" s="817">
        <f t="shared" ref="E847" si="88">E848+E861</f>
        <v>2304296</v>
      </c>
    </row>
    <row r="848" spans="1:5" ht="17.100000000000001" customHeight="1">
      <c r="A848" s="812"/>
      <c r="B848" s="1642"/>
      <c r="C848" s="1677" t="s">
        <v>754</v>
      </c>
      <c r="D848" s="1677"/>
      <c r="E848" s="828">
        <f t="shared" ref="E848" si="89">E849+E855</f>
        <v>2278496</v>
      </c>
    </row>
    <row r="849" spans="1:5" ht="17.100000000000001" customHeight="1">
      <c r="A849" s="812"/>
      <c r="B849" s="1642"/>
      <c r="C849" s="1678" t="s">
        <v>755</v>
      </c>
      <c r="D849" s="1678"/>
      <c r="E849" s="841">
        <f t="shared" ref="E849" si="90">SUM(E850:E853)</f>
        <v>2183383</v>
      </c>
    </row>
    <row r="850" spans="1:5" ht="17.100000000000001" customHeight="1">
      <c r="A850" s="812"/>
      <c r="B850" s="1642"/>
      <c r="C850" s="1029" t="s">
        <v>538</v>
      </c>
      <c r="D850" s="1030" t="s">
        <v>756</v>
      </c>
      <c r="E850" s="828">
        <v>1673216</v>
      </c>
    </row>
    <row r="851" spans="1:5" ht="17.100000000000001" customHeight="1">
      <c r="A851" s="812"/>
      <c r="B851" s="1642"/>
      <c r="C851" s="1029" t="s">
        <v>757</v>
      </c>
      <c r="D851" s="1030" t="s">
        <v>758</v>
      </c>
      <c r="E851" s="828">
        <v>139800</v>
      </c>
    </row>
    <row r="852" spans="1:5" ht="17.100000000000001" customHeight="1">
      <c r="A852" s="812"/>
      <c r="B852" s="1642"/>
      <c r="C852" s="1029" t="s">
        <v>759</v>
      </c>
      <c r="D852" s="1030" t="s">
        <v>760</v>
      </c>
      <c r="E852" s="828">
        <v>325525</v>
      </c>
    </row>
    <row r="853" spans="1:5" ht="17.100000000000001" customHeight="1">
      <c r="A853" s="812"/>
      <c r="B853" s="1642"/>
      <c r="C853" s="1029" t="s">
        <v>761</v>
      </c>
      <c r="D853" s="1030" t="s">
        <v>762</v>
      </c>
      <c r="E853" s="828">
        <v>44842</v>
      </c>
    </row>
    <row r="854" spans="1:5" ht="17.100000000000001" customHeight="1">
      <c r="A854" s="812"/>
      <c r="B854" s="1642"/>
      <c r="C854" s="838"/>
      <c r="D854" s="838"/>
      <c r="E854" s="825"/>
    </row>
    <row r="855" spans="1:5" ht="17.100000000000001" customHeight="1">
      <c r="A855" s="812"/>
      <c r="B855" s="1642"/>
      <c r="C855" s="1679" t="s">
        <v>765</v>
      </c>
      <c r="D855" s="1679"/>
      <c r="E855" s="841">
        <f t="shared" ref="E855" si="91">SUM(E856:E859)</f>
        <v>95113</v>
      </c>
    </row>
    <row r="856" spans="1:5" ht="17.100000000000001" customHeight="1">
      <c r="A856" s="812"/>
      <c r="B856" s="1642"/>
      <c r="C856" s="1029" t="s">
        <v>768</v>
      </c>
      <c r="D856" s="1030" t="s">
        <v>769</v>
      </c>
      <c r="E856" s="828">
        <v>2977</v>
      </c>
    </row>
    <row r="857" spans="1:5" ht="17.100000000000001" customHeight="1">
      <c r="A857" s="812"/>
      <c r="B857" s="1642"/>
      <c r="C857" s="1029" t="s">
        <v>872</v>
      </c>
      <c r="D857" s="1030" t="s">
        <v>873</v>
      </c>
      <c r="E857" s="828">
        <v>2369</v>
      </c>
    </row>
    <row r="858" spans="1:5" ht="17.100000000000001" customHeight="1">
      <c r="A858" s="812"/>
      <c r="B858" s="1642"/>
      <c r="C858" s="1029" t="s">
        <v>776</v>
      </c>
      <c r="D858" s="1030" t="s">
        <v>777</v>
      </c>
      <c r="E858" s="828">
        <v>1009</v>
      </c>
    </row>
    <row r="859" spans="1:5" ht="17.100000000000001" customHeight="1">
      <c r="A859" s="812"/>
      <c r="B859" s="1642"/>
      <c r="C859" s="1029" t="s">
        <v>789</v>
      </c>
      <c r="D859" s="1030" t="s">
        <v>790</v>
      </c>
      <c r="E859" s="828">
        <v>88758</v>
      </c>
    </row>
    <row r="860" spans="1:5" ht="17.100000000000001" customHeight="1">
      <c r="A860" s="812"/>
      <c r="B860" s="1642"/>
      <c r="C860" s="838"/>
      <c r="D860" s="838"/>
      <c r="E860" s="825"/>
    </row>
    <row r="861" spans="1:5" ht="17.100000000000001" customHeight="1">
      <c r="A861" s="812"/>
      <c r="B861" s="1642"/>
      <c r="C861" s="1680" t="s">
        <v>892</v>
      </c>
      <c r="D861" s="1680"/>
      <c r="E861" s="828">
        <f t="shared" ref="E861" si="92">E862</f>
        <v>25800</v>
      </c>
    </row>
    <row r="862" spans="1:5" ht="17.100000000000001" customHeight="1" thickBot="1">
      <c r="A862" s="812"/>
      <c r="B862" s="1642"/>
      <c r="C862" s="1026" t="s">
        <v>802</v>
      </c>
      <c r="D862" s="1027" t="s">
        <v>803</v>
      </c>
      <c r="E862" s="1031">
        <v>25800</v>
      </c>
    </row>
    <row r="863" spans="1:5" ht="17.100000000000001" customHeight="1" thickBot="1">
      <c r="A863" s="812"/>
      <c r="B863" s="858" t="s">
        <v>932</v>
      </c>
      <c r="C863" s="859"/>
      <c r="D863" s="860" t="s">
        <v>933</v>
      </c>
      <c r="E863" s="861">
        <f t="shared" ref="E863" si="93">E864</f>
        <v>639506</v>
      </c>
    </row>
    <row r="864" spans="1:5" ht="17.100000000000001" customHeight="1">
      <c r="A864" s="812"/>
      <c r="B864" s="1587"/>
      <c r="C864" s="1583" t="s">
        <v>753</v>
      </c>
      <c r="D864" s="1583"/>
      <c r="E864" s="817">
        <f t="shared" ref="E864" si="94">E865+E878</f>
        <v>639506</v>
      </c>
    </row>
    <row r="865" spans="1:5" ht="17.100000000000001" customHeight="1">
      <c r="A865" s="812"/>
      <c r="B865" s="1587"/>
      <c r="C865" s="1677" t="s">
        <v>754</v>
      </c>
      <c r="D865" s="1677"/>
      <c r="E865" s="828">
        <f t="shared" ref="E865" si="95">E866+E872</f>
        <v>638915</v>
      </c>
    </row>
    <row r="866" spans="1:5" ht="17.100000000000001" customHeight="1">
      <c r="A866" s="812"/>
      <c r="B866" s="1587"/>
      <c r="C866" s="1678" t="s">
        <v>755</v>
      </c>
      <c r="D866" s="1678"/>
      <c r="E866" s="841">
        <f t="shared" ref="E866" si="96">SUM(E867:E870)</f>
        <v>602205</v>
      </c>
    </row>
    <row r="867" spans="1:5" ht="17.100000000000001" customHeight="1">
      <c r="A867" s="812"/>
      <c r="B867" s="1587"/>
      <c r="C867" s="1029" t="s">
        <v>538</v>
      </c>
      <c r="D867" s="1030" t="s">
        <v>756</v>
      </c>
      <c r="E867" s="828">
        <v>460840</v>
      </c>
    </row>
    <row r="868" spans="1:5" ht="17.100000000000001" customHeight="1">
      <c r="A868" s="812"/>
      <c r="B868" s="1587"/>
      <c r="C868" s="1029" t="s">
        <v>757</v>
      </c>
      <c r="D868" s="1030" t="s">
        <v>758</v>
      </c>
      <c r="E868" s="828">
        <v>42786</v>
      </c>
    </row>
    <row r="869" spans="1:5" ht="17.100000000000001" customHeight="1">
      <c r="A869" s="812"/>
      <c r="B869" s="1587"/>
      <c r="C869" s="1029" t="s">
        <v>759</v>
      </c>
      <c r="D869" s="1030" t="s">
        <v>760</v>
      </c>
      <c r="E869" s="828">
        <v>86226</v>
      </c>
    </row>
    <row r="870" spans="1:5" ht="17.100000000000001" customHeight="1">
      <c r="A870" s="812"/>
      <c r="B870" s="1587"/>
      <c r="C870" s="1029" t="s">
        <v>761</v>
      </c>
      <c r="D870" s="1030" t="s">
        <v>762</v>
      </c>
      <c r="E870" s="828">
        <v>12353</v>
      </c>
    </row>
    <row r="871" spans="1:5" ht="17.100000000000001" customHeight="1">
      <c r="A871" s="812"/>
      <c r="B871" s="1587"/>
      <c r="C871" s="838"/>
      <c r="D871" s="838"/>
      <c r="E871" s="825"/>
    </row>
    <row r="872" spans="1:5" ht="17.100000000000001" customHeight="1">
      <c r="A872" s="812"/>
      <c r="B872" s="1587"/>
      <c r="C872" s="1679" t="s">
        <v>765</v>
      </c>
      <c r="D872" s="1679"/>
      <c r="E872" s="841">
        <f t="shared" ref="E872" si="97">SUM(E873:E876)</f>
        <v>36710</v>
      </c>
    </row>
    <row r="873" spans="1:5" ht="17.100000000000001" customHeight="1">
      <c r="A873" s="812"/>
      <c r="B873" s="1587"/>
      <c r="C873" s="1029" t="s">
        <v>768</v>
      </c>
      <c r="D873" s="1030" t="s">
        <v>769</v>
      </c>
      <c r="E873" s="828">
        <v>4223</v>
      </c>
    </row>
    <row r="874" spans="1:5" ht="17.100000000000001" customHeight="1">
      <c r="A874" s="812"/>
      <c r="B874" s="1587"/>
      <c r="C874" s="1029" t="s">
        <v>872</v>
      </c>
      <c r="D874" s="1030" t="s">
        <v>934</v>
      </c>
      <c r="E874" s="828">
        <v>4030</v>
      </c>
    </row>
    <row r="875" spans="1:5" ht="17.100000000000001" customHeight="1">
      <c r="A875" s="812"/>
      <c r="B875" s="1587"/>
      <c r="C875" s="1029" t="s">
        <v>776</v>
      </c>
      <c r="D875" s="1030" t="s">
        <v>777</v>
      </c>
      <c r="E875" s="828">
        <v>387</v>
      </c>
    </row>
    <row r="876" spans="1:5" ht="17.100000000000001" customHeight="1">
      <c r="A876" s="812"/>
      <c r="B876" s="1587"/>
      <c r="C876" s="1029" t="s">
        <v>789</v>
      </c>
      <c r="D876" s="1030" t="s">
        <v>790</v>
      </c>
      <c r="E876" s="828">
        <v>28070</v>
      </c>
    </row>
    <row r="877" spans="1:5" ht="17.100000000000001" customHeight="1">
      <c r="A877" s="812"/>
      <c r="B877" s="1590"/>
      <c r="C877" s="838"/>
      <c r="D877" s="842"/>
      <c r="E877" s="843"/>
    </row>
    <row r="878" spans="1:5" ht="17.100000000000001" customHeight="1">
      <c r="A878" s="812"/>
      <c r="B878" s="1590"/>
      <c r="C878" s="1680" t="s">
        <v>892</v>
      </c>
      <c r="D878" s="1684"/>
      <c r="E878" s="828">
        <f t="shared" ref="E878" si="98">E879</f>
        <v>591</v>
      </c>
    </row>
    <row r="879" spans="1:5" ht="17.100000000000001" customHeight="1" thickBot="1">
      <c r="A879" s="812"/>
      <c r="B879" s="1590"/>
      <c r="C879" s="1026" t="s">
        <v>802</v>
      </c>
      <c r="D879" s="1027" t="s">
        <v>803</v>
      </c>
      <c r="E879" s="1031">
        <v>591</v>
      </c>
    </row>
    <row r="880" spans="1:5" ht="17.100000000000001" customHeight="1" thickBot="1">
      <c r="A880" s="812"/>
      <c r="B880" s="858" t="s">
        <v>559</v>
      </c>
      <c r="C880" s="859"/>
      <c r="D880" s="860" t="s">
        <v>699</v>
      </c>
      <c r="E880" s="861">
        <f>SUM(E881,E927)</f>
        <v>16796603</v>
      </c>
    </row>
    <row r="881" spans="1:5" ht="17.100000000000001" customHeight="1">
      <c r="A881" s="812"/>
      <c r="B881" s="820"/>
      <c r="C881" s="1583" t="s">
        <v>753</v>
      </c>
      <c r="D881" s="1583"/>
      <c r="E881" s="817">
        <f>E882+E908+E911</f>
        <v>16785603</v>
      </c>
    </row>
    <row r="882" spans="1:5" ht="17.100000000000001" customHeight="1">
      <c r="A882" s="812"/>
      <c r="B882" s="820"/>
      <c r="C882" s="1677" t="s">
        <v>754</v>
      </c>
      <c r="D882" s="1677"/>
      <c r="E882" s="828">
        <f t="shared" ref="E882" si="99">E883+E890</f>
        <v>16441941</v>
      </c>
    </row>
    <row r="883" spans="1:5" ht="17.100000000000001" customHeight="1">
      <c r="A883" s="812"/>
      <c r="B883" s="820"/>
      <c r="C883" s="1678" t="s">
        <v>755</v>
      </c>
      <c r="D883" s="1678"/>
      <c r="E883" s="841">
        <f t="shared" ref="E883" si="100">SUM(E884:E888)</f>
        <v>14368526</v>
      </c>
    </row>
    <row r="884" spans="1:5" ht="17.100000000000001" customHeight="1">
      <c r="A884" s="812"/>
      <c r="B884" s="820"/>
      <c r="C884" s="1029" t="s">
        <v>538</v>
      </c>
      <c r="D884" s="1030" t="s">
        <v>756</v>
      </c>
      <c r="E884" s="828">
        <v>11151214</v>
      </c>
    </row>
    <row r="885" spans="1:5" ht="17.100000000000001" customHeight="1">
      <c r="A885" s="812"/>
      <c r="B885" s="820"/>
      <c r="C885" s="1029" t="s">
        <v>757</v>
      </c>
      <c r="D885" s="1030" t="s">
        <v>758</v>
      </c>
      <c r="E885" s="828">
        <v>915209</v>
      </c>
    </row>
    <row r="886" spans="1:5" ht="17.100000000000001" customHeight="1">
      <c r="A886" s="812"/>
      <c r="B886" s="820"/>
      <c r="C886" s="1029" t="s">
        <v>759</v>
      </c>
      <c r="D886" s="1030" t="s">
        <v>760</v>
      </c>
      <c r="E886" s="828">
        <v>2009846</v>
      </c>
    </row>
    <row r="887" spans="1:5" ht="17.100000000000001" customHeight="1">
      <c r="A887" s="812"/>
      <c r="B887" s="820"/>
      <c r="C887" s="1029" t="s">
        <v>761</v>
      </c>
      <c r="D887" s="1030" t="s">
        <v>762</v>
      </c>
      <c r="E887" s="828">
        <v>264437</v>
      </c>
    </row>
    <row r="888" spans="1:5" ht="17.100000000000001" customHeight="1">
      <c r="A888" s="812"/>
      <c r="B888" s="820"/>
      <c r="C888" s="1026" t="s">
        <v>763</v>
      </c>
      <c r="D888" s="1027" t="s">
        <v>764</v>
      </c>
      <c r="E888" s="828">
        <v>27820</v>
      </c>
    </row>
    <row r="889" spans="1:5" ht="17.100000000000001" customHeight="1">
      <c r="A889" s="812"/>
      <c r="B889" s="820"/>
      <c r="C889" s="1032"/>
      <c r="D889" s="1032"/>
      <c r="E889" s="1033"/>
    </row>
    <row r="890" spans="1:5" ht="17.100000000000001" customHeight="1">
      <c r="A890" s="812"/>
      <c r="B890" s="820"/>
      <c r="C890" s="1679" t="s">
        <v>765</v>
      </c>
      <c r="D890" s="1679"/>
      <c r="E890" s="1034">
        <f>SUM(E891:E906)</f>
        <v>2073415</v>
      </c>
    </row>
    <row r="891" spans="1:5" ht="17.100000000000001" customHeight="1">
      <c r="A891" s="812"/>
      <c r="B891" s="820"/>
      <c r="C891" s="1029" t="s">
        <v>766</v>
      </c>
      <c r="D891" s="1030" t="s">
        <v>767</v>
      </c>
      <c r="E891" s="828">
        <v>29600</v>
      </c>
    </row>
    <row r="892" spans="1:5" ht="17.100000000000001" customHeight="1">
      <c r="A892" s="812"/>
      <c r="B892" s="820"/>
      <c r="C892" s="1029" t="s">
        <v>768</v>
      </c>
      <c r="D892" s="1030" t="s">
        <v>769</v>
      </c>
      <c r="E892" s="828">
        <v>148761</v>
      </c>
    </row>
    <row r="893" spans="1:5" ht="17.100000000000001" customHeight="1">
      <c r="A893" s="812"/>
      <c r="B893" s="820"/>
      <c r="C893" s="1029" t="s">
        <v>872</v>
      </c>
      <c r="D893" s="1030" t="s">
        <v>873</v>
      </c>
      <c r="E893" s="828">
        <v>83100</v>
      </c>
    </row>
    <row r="894" spans="1:5" ht="17.100000000000001" customHeight="1">
      <c r="A894" s="812"/>
      <c r="B894" s="820"/>
      <c r="C894" s="1029" t="s">
        <v>772</v>
      </c>
      <c r="D894" s="1030" t="s">
        <v>773</v>
      </c>
      <c r="E894" s="828">
        <v>576176</v>
      </c>
    </row>
    <row r="895" spans="1:5" ht="17.100000000000001" customHeight="1">
      <c r="A895" s="812"/>
      <c r="B895" s="820"/>
      <c r="C895" s="1029" t="s">
        <v>774</v>
      </c>
      <c r="D895" s="1030" t="s">
        <v>775</v>
      </c>
      <c r="E895" s="828">
        <v>30200</v>
      </c>
    </row>
    <row r="896" spans="1:5" ht="17.100000000000001" customHeight="1">
      <c r="A896" s="812"/>
      <c r="B896" s="820"/>
      <c r="C896" s="1029" t="s">
        <v>776</v>
      </c>
      <c r="D896" s="1030" t="s">
        <v>777</v>
      </c>
      <c r="E896" s="828">
        <v>16146</v>
      </c>
    </row>
    <row r="897" spans="1:5" ht="17.100000000000001" customHeight="1">
      <c r="A897" s="812"/>
      <c r="B897" s="820"/>
      <c r="C897" s="1029" t="s">
        <v>517</v>
      </c>
      <c r="D897" s="1030" t="s">
        <v>778</v>
      </c>
      <c r="E897" s="828">
        <v>299758</v>
      </c>
    </row>
    <row r="898" spans="1:5" ht="25.5">
      <c r="A898" s="812"/>
      <c r="B898" s="820"/>
      <c r="C898" s="1029" t="s">
        <v>551</v>
      </c>
      <c r="D898" s="1030" t="s">
        <v>935</v>
      </c>
      <c r="E898" s="828">
        <v>174660</v>
      </c>
    </row>
    <row r="899" spans="1:5" ht="16.5" customHeight="1">
      <c r="A899" s="812"/>
      <c r="B899" s="820"/>
      <c r="C899" s="1029" t="s">
        <v>779</v>
      </c>
      <c r="D899" s="1030" t="s">
        <v>780</v>
      </c>
      <c r="E899" s="828">
        <v>27830</v>
      </c>
    </row>
    <row r="900" spans="1:5" ht="16.5" customHeight="1">
      <c r="A900" s="812"/>
      <c r="B900" s="820"/>
      <c r="C900" s="1029" t="s">
        <v>781</v>
      </c>
      <c r="D900" s="1030" t="s">
        <v>782</v>
      </c>
      <c r="E900" s="828">
        <v>80</v>
      </c>
    </row>
    <row r="901" spans="1:5" ht="16.5" customHeight="1">
      <c r="A901" s="812"/>
      <c r="B901" s="820"/>
      <c r="C901" s="1029" t="s">
        <v>783</v>
      </c>
      <c r="D901" s="1030" t="s">
        <v>784</v>
      </c>
      <c r="E901" s="828">
        <v>9042</v>
      </c>
    </row>
    <row r="902" spans="1:5" ht="17.100000000000001" customHeight="1">
      <c r="A902" s="812"/>
      <c r="B902" s="820"/>
      <c r="C902" s="1029" t="s">
        <v>785</v>
      </c>
      <c r="D902" s="1030" t="s">
        <v>786</v>
      </c>
      <c r="E902" s="828">
        <v>16840</v>
      </c>
    </row>
    <row r="903" spans="1:5" ht="17.100000000000001" customHeight="1">
      <c r="A903" s="812"/>
      <c r="B903" s="820"/>
      <c r="C903" s="1029" t="s">
        <v>787</v>
      </c>
      <c r="D903" s="1030" t="s">
        <v>788</v>
      </c>
      <c r="E903" s="828">
        <v>23670</v>
      </c>
    </row>
    <row r="904" spans="1:5" ht="17.100000000000001" customHeight="1">
      <c r="A904" s="812"/>
      <c r="B904" s="820"/>
      <c r="C904" s="1029" t="s">
        <v>789</v>
      </c>
      <c r="D904" s="1030" t="s">
        <v>790</v>
      </c>
      <c r="E904" s="828">
        <v>601408</v>
      </c>
    </row>
    <row r="905" spans="1:5" ht="17.100000000000001" customHeight="1">
      <c r="A905" s="812"/>
      <c r="B905" s="820"/>
      <c r="C905" s="1029" t="s">
        <v>795</v>
      </c>
      <c r="D905" s="1030" t="s">
        <v>936</v>
      </c>
      <c r="E905" s="828">
        <v>24193</v>
      </c>
    </row>
    <row r="906" spans="1:5" ht="17.100000000000001" customHeight="1">
      <c r="A906" s="812"/>
      <c r="B906" s="820"/>
      <c r="C906" s="1029" t="s">
        <v>799</v>
      </c>
      <c r="D906" s="1030" t="s">
        <v>800</v>
      </c>
      <c r="E906" s="828">
        <v>11951</v>
      </c>
    </row>
    <row r="907" spans="1:5" ht="17.100000000000001" customHeight="1">
      <c r="A907" s="812"/>
      <c r="B907" s="820"/>
      <c r="C907" s="838"/>
      <c r="D907" s="838"/>
      <c r="E907" s="825"/>
    </row>
    <row r="908" spans="1:5" ht="17.100000000000001" customHeight="1">
      <c r="A908" s="812"/>
      <c r="B908" s="820"/>
      <c r="C908" s="1680" t="s">
        <v>892</v>
      </c>
      <c r="D908" s="1680"/>
      <c r="E908" s="828">
        <f>E909</f>
        <v>51262</v>
      </c>
    </row>
    <row r="909" spans="1:5">
      <c r="A909" s="812"/>
      <c r="B909" s="820"/>
      <c r="C909" s="1035" t="s">
        <v>802</v>
      </c>
      <c r="D909" s="1036" t="s">
        <v>803</v>
      </c>
      <c r="E909" s="828">
        <v>51262</v>
      </c>
    </row>
    <row r="910" spans="1:5">
      <c r="A910" s="812"/>
      <c r="B910" s="820"/>
      <c r="C910" s="1037"/>
      <c r="D910" s="1038"/>
      <c r="E910" s="847"/>
    </row>
    <row r="911" spans="1:5">
      <c r="A911" s="812"/>
      <c r="B911" s="820"/>
      <c r="C911" s="1682" t="s">
        <v>813</v>
      </c>
      <c r="D911" s="1683"/>
      <c r="E911" s="1039">
        <f>SUM(E912:E925)</f>
        <v>292400</v>
      </c>
    </row>
    <row r="912" spans="1:5">
      <c r="A912" s="812"/>
      <c r="B912" s="820"/>
      <c r="C912" s="1029" t="s">
        <v>422</v>
      </c>
      <c r="D912" s="1040" t="s">
        <v>937</v>
      </c>
      <c r="E912" s="1041">
        <v>46629</v>
      </c>
    </row>
    <row r="913" spans="1:5">
      <c r="A913" s="812"/>
      <c r="B913" s="820"/>
      <c r="C913" s="1029" t="s">
        <v>423</v>
      </c>
      <c r="D913" s="1040" t="s">
        <v>937</v>
      </c>
      <c r="E913" s="1041">
        <v>3241</v>
      </c>
    </row>
    <row r="914" spans="1:5">
      <c r="A914" s="812"/>
      <c r="B914" s="820"/>
      <c r="C914" s="1029" t="s">
        <v>392</v>
      </c>
      <c r="D914" s="1030" t="s">
        <v>760</v>
      </c>
      <c r="E914" s="1041">
        <v>19160</v>
      </c>
    </row>
    <row r="915" spans="1:5">
      <c r="A915" s="812"/>
      <c r="B915" s="820"/>
      <c r="C915" s="1029" t="s">
        <v>337</v>
      </c>
      <c r="D915" s="1030" t="s">
        <v>760</v>
      </c>
      <c r="E915" s="1041">
        <v>5242</v>
      </c>
    </row>
    <row r="916" spans="1:5">
      <c r="A916" s="812"/>
      <c r="B916" s="820"/>
      <c r="C916" s="1029" t="s">
        <v>393</v>
      </c>
      <c r="D916" s="1030" t="s">
        <v>762</v>
      </c>
      <c r="E916" s="1041">
        <v>600</v>
      </c>
    </row>
    <row r="917" spans="1:5">
      <c r="A917" s="812"/>
      <c r="B917" s="820"/>
      <c r="C917" s="1029" t="s">
        <v>367</v>
      </c>
      <c r="D917" s="1030" t="s">
        <v>762</v>
      </c>
      <c r="E917" s="1041">
        <v>599</v>
      </c>
    </row>
    <row r="918" spans="1:5">
      <c r="A918" s="812"/>
      <c r="B918" s="820"/>
      <c r="C918" s="1029" t="s">
        <v>410</v>
      </c>
      <c r="D918" s="1030" t="s">
        <v>764</v>
      </c>
      <c r="E918" s="1041">
        <v>24439</v>
      </c>
    </row>
    <row r="919" spans="1:5">
      <c r="A919" s="812"/>
      <c r="B919" s="820"/>
      <c r="C919" s="1029" t="s">
        <v>339</v>
      </c>
      <c r="D919" s="1030" t="s">
        <v>764</v>
      </c>
      <c r="E919" s="1041">
        <v>24440</v>
      </c>
    </row>
    <row r="920" spans="1:5">
      <c r="A920" s="812"/>
      <c r="B920" s="820"/>
      <c r="C920" s="1029" t="s">
        <v>560</v>
      </c>
      <c r="D920" s="1030" t="s">
        <v>873</v>
      </c>
      <c r="E920" s="1041">
        <v>110307</v>
      </c>
    </row>
    <row r="921" spans="1:5">
      <c r="A921" s="812"/>
      <c r="B921" s="820"/>
      <c r="C921" s="1029" t="s">
        <v>561</v>
      </c>
      <c r="D921" s="1030" t="s">
        <v>873</v>
      </c>
      <c r="E921" s="1041">
        <v>7043</v>
      </c>
    </row>
    <row r="922" spans="1:5">
      <c r="A922" s="812"/>
      <c r="B922" s="820"/>
      <c r="C922" s="1029" t="s">
        <v>394</v>
      </c>
      <c r="D922" s="1030" t="s">
        <v>778</v>
      </c>
      <c r="E922" s="1041">
        <v>34128</v>
      </c>
    </row>
    <row r="923" spans="1:5">
      <c r="A923" s="812"/>
      <c r="B923" s="820"/>
      <c r="C923" s="1029" t="s">
        <v>344</v>
      </c>
      <c r="D923" s="1030" t="s">
        <v>778</v>
      </c>
      <c r="E923" s="1041">
        <v>2372</v>
      </c>
    </row>
    <row r="924" spans="1:5">
      <c r="A924" s="812"/>
      <c r="B924" s="820"/>
      <c r="C924" s="1029" t="s">
        <v>396</v>
      </c>
      <c r="D924" s="1030" t="s">
        <v>800</v>
      </c>
      <c r="E924" s="1041">
        <v>13277</v>
      </c>
    </row>
    <row r="925" spans="1:5">
      <c r="A925" s="812"/>
      <c r="B925" s="820"/>
      <c r="C925" s="1026" t="s">
        <v>381</v>
      </c>
      <c r="D925" s="1027" t="s">
        <v>800</v>
      </c>
      <c r="E925" s="1041">
        <v>923</v>
      </c>
    </row>
    <row r="926" spans="1:5">
      <c r="A926" s="812"/>
      <c r="B926" s="820"/>
      <c r="C926" s="931"/>
      <c r="D926" s="1042"/>
      <c r="E926" s="1043"/>
    </row>
    <row r="927" spans="1:5" ht="12.75" customHeight="1">
      <c r="A927" s="812"/>
      <c r="B927" s="820"/>
      <c r="C927" s="1593" t="s">
        <v>804</v>
      </c>
      <c r="D927" s="1593"/>
      <c r="E927" s="817">
        <f t="shared" ref="E927" si="101">E928</f>
        <v>11000</v>
      </c>
    </row>
    <row r="928" spans="1:5" ht="15" customHeight="1">
      <c r="A928" s="812"/>
      <c r="B928" s="820"/>
      <c r="C928" s="1680" t="s">
        <v>805</v>
      </c>
      <c r="D928" s="1688"/>
      <c r="E928" s="828">
        <f>SUM(E929:E929)</f>
        <v>11000</v>
      </c>
    </row>
    <row r="929" spans="1:5" ht="15" customHeight="1">
      <c r="A929" s="812"/>
      <c r="B929" s="820"/>
      <c r="C929" s="1044" t="s">
        <v>401</v>
      </c>
      <c r="D929" s="850" t="s">
        <v>819</v>
      </c>
      <c r="E929" s="828">
        <v>11000</v>
      </c>
    </row>
    <row r="930" spans="1:5" ht="13.5" thickBot="1">
      <c r="A930" s="812"/>
      <c r="B930" s="820"/>
      <c r="C930" s="941"/>
      <c r="D930" s="1045"/>
      <c r="E930" s="868"/>
    </row>
    <row r="931" spans="1:5" ht="17.100000000000001" customHeight="1" thickBot="1">
      <c r="A931" s="812"/>
      <c r="B931" s="858" t="s">
        <v>542</v>
      </c>
      <c r="C931" s="859"/>
      <c r="D931" s="860" t="s">
        <v>700</v>
      </c>
      <c r="E931" s="861">
        <f>E932+E980</f>
        <v>12067899</v>
      </c>
    </row>
    <row r="932" spans="1:5" ht="17.100000000000001" customHeight="1">
      <c r="A932" s="812"/>
      <c r="B932" s="820"/>
      <c r="C932" s="1583" t="s">
        <v>753</v>
      </c>
      <c r="D932" s="1583"/>
      <c r="E932" s="817">
        <f>E933+E953+E956</f>
        <v>12024865</v>
      </c>
    </row>
    <row r="933" spans="1:5" ht="17.100000000000001" customHeight="1">
      <c r="A933" s="812"/>
      <c r="B933" s="820"/>
      <c r="C933" s="1677" t="s">
        <v>754</v>
      </c>
      <c r="D933" s="1677"/>
      <c r="E933" s="828">
        <f t="shared" ref="E933" si="102">E934+E941</f>
        <v>8217124</v>
      </c>
    </row>
    <row r="934" spans="1:5" ht="17.100000000000001" customHeight="1">
      <c r="A934" s="812"/>
      <c r="B934" s="820"/>
      <c r="C934" s="1678" t="s">
        <v>755</v>
      </c>
      <c r="D934" s="1678"/>
      <c r="E934" s="841">
        <f t="shared" ref="E934" si="103">SUM(E935:E939)</f>
        <v>7563651</v>
      </c>
    </row>
    <row r="935" spans="1:5" ht="17.100000000000001" customHeight="1">
      <c r="A935" s="812"/>
      <c r="B935" s="820"/>
      <c r="C935" s="1029" t="s">
        <v>538</v>
      </c>
      <c r="D935" s="1030" t="s">
        <v>756</v>
      </c>
      <c r="E935" s="828">
        <v>5922004</v>
      </c>
    </row>
    <row r="936" spans="1:5" ht="17.100000000000001" customHeight="1">
      <c r="A936" s="812"/>
      <c r="B936" s="820"/>
      <c r="C936" s="1029" t="s">
        <v>757</v>
      </c>
      <c r="D936" s="1030" t="s">
        <v>758</v>
      </c>
      <c r="E936" s="828">
        <v>447017</v>
      </c>
    </row>
    <row r="937" spans="1:5" ht="17.100000000000001" customHeight="1">
      <c r="A937" s="812"/>
      <c r="B937" s="820"/>
      <c r="C937" s="1029" t="s">
        <v>759</v>
      </c>
      <c r="D937" s="1030" t="s">
        <v>760</v>
      </c>
      <c r="E937" s="828">
        <v>1066387</v>
      </c>
    </row>
    <row r="938" spans="1:5" ht="17.100000000000001" customHeight="1">
      <c r="A938" s="812"/>
      <c r="B938" s="820"/>
      <c r="C938" s="1026" t="s">
        <v>761</v>
      </c>
      <c r="D938" s="1027" t="s">
        <v>762</v>
      </c>
      <c r="E938" s="1031">
        <v>124143</v>
      </c>
    </row>
    <row r="939" spans="1:5" ht="17.100000000000001" customHeight="1">
      <c r="A939" s="812"/>
      <c r="B939" s="820"/>
      <c r="C939" s="1029" t="s">
        <v>763</v>
      </c>
      <c r="D939" s="1046" t="s">
        <v>764</v>
      </c>
      <c r="E939" s="1047">
        <v>4100</v>
      </c>
    </row>
    <row r="940" spans="1:5" ht="17.100000000000001" customHeight="1">
      <c r="A940" s="812"/>
      <c r="B940" s="820"/>
      <c r="C940" s="838"/>
      <c r="D940" s="838"/>
      <c r="E940" s="825"/>
    </row>
    <row r="941" spans="1:5" ht="17.100000000000001" customHeight="1">
      <c r="A941" s="812"/>
      <c r="B941" s="820"/>
      <c r="C941" s="1679" t="s">
        <v>765</v>
      </c>
      <c r="D941" s="1679"/>
      <c r="E941" s="841">
        <f>SUM(E942:E951)</f>
        <v>653473</v>
      </c>
    </row>
    <row r="942" spans="1:5" ht="17.100000000000001" customHeight="1">
      <c r="A942" s="812"/>
      <c r="B942" s="820"/>
      <c r="C942" s="1029" t="s">
        <v>766</v>
      </c>
      <c r="D942" s="1030" t="s">
        <v>767</v>
      </c>
      <c r="E942" s="828">
        <v>90977</v>
      </c>
    </row>
    <row r="943" spans="1:5" ht="17.100000000000001" customHeight="1">
      <c r="A943" s="812"/>
      <c r="B943" s="820"/>
      <c r="C943" s="1029" t="s">
        <v>768</v>
      </c>
      <c r="D943" s="1030" t="s">
        <v>769</v>
      </c>
      <c r="E943" s="828">
        <v>7200</v>
      </c>
    </row>
    <row r="944" spans="1:5" ht="17.100000000000001" customHeight="1">
      <c r="A944" s="812"/>
      <c r="B944" s="820"/>
      <c r="C944" s="1029" t="s">
        <v>772</v>
      </c>
      <c r="D944" s="1030" t="s">
        <v>773</v>
      </c>
      <c r="E944" s="828">
        <v>77061</v>
      </c>
    </row>
    <row r="945" spans="1:5" ht="17.100000000000001" customHeight="1">
      <c r="A945" s="812"/>
      <c r="B945" s="820"/>
      <c r="C945" s="1029" t="s">
        <v>776</v>
      </c>
      <c r="D945" s="1030" t="s">
        <v>777</v>
      </c>
      <c r="E945" s="828">
        <v>13180</v>
      </c>
    </row>
    <row r="946" spans="1:5" ht="17.100000000000001" customHeight="1">
      <c r="A946" s="812"/>
      <c r="B946" s="820"/>
      <c r="C946" s="1029" t="s">
        <v>517</v>
      </c>
      <c r="D946" s="1030" t="s">
        <v>778</v>
      </c>
      <c r="E946" s="828">
        <v>10470</v>
      </c>
    </row>
    <row r="947" spans="1:5" ht="17.100000000000001" hidden="1" customHeight="1">
      <c r="A947" s="812"/>
      <c r="B947" s="820"/>
      <c r="C947" s="1029" t="s">
        <v>938</v>
      </c>
      <c r="D947" s="1030" t="s">
        <v>939</v>
      </c>
      <c r="E947" s="828">
        <v>0</v>
      </c>
    </row>
    <row r="948" spans="1:5" ht="17.100000000000001" customHeight="1">
      <c r="A948" s="812"/>
      <c r="B948" s="820"/>
      <c r="C948" s="1029" t="s">
        <v>785</v>
      </c>
      <c r="D948" s="1030" t="s">
        <v>786</v>
      </c>
      <c r="E948" s="828">
        <v>40304</v>
      </c>
    </row>
    <row r="949" spans="1:5" ht="17.100000000000001" hidden="1" customHeight="1">
      <c r="A949" s="812"/>
      <c r="B949" s="820"/>
      <c r="C949" s="1029" t="s">
        <v>787</v>
      </c>
      <c r="D949" s="1030" t="s">
        <v>788</v>
      </c>
      <c r="E949" s="828">
        <v>0</v>
      </c>
    </row>
    <row r="950" spans="1:5" ht="17.100000000000001" customHeight="1">
      <c r="A950" s="812"/>
      <c r="B950" s="820"/>
      <c r="C950" s="1029" t="s">
        <v>789</v>
      </c>
      <c r="D950" s="1030" t="s">
        <v>790</v>
      </c>
      <c r="E950" s="828">
        <v>248655</v>
      </c>
    </row>
    <row r="951" spans="1:5" ht="17.100000000000001" customHeight="1">
      <c r="A951" s="812"/>
      <c r="B951" s="820"/>
      <c r="C951" s="1029" t="s">
        <v>799</v>
      </c>
      <c r="D951" s="1030" t="s">
        <v>800</v>
      </c>
      <c r="E951" s="828">
        <v>165626</v>
      </c>
    </row>
    <row r="952" spans="1:5" ht="17.100000000000001" customHeight="1">
      <c r="A952" s="812"/>
      <c r="B952" s="820"/>
      <c r="C952" s="838"/>
      <c r="D952" s="838"/>
      <c r="E952" s="825"/>
    </row>
    <row r="953" spans="1:5" ht="17.100000000000001" customHeight="1">
      <c r="A953" s="812"/>
      <c r="B953" s="820"/>
      <c r="C953" s="1685" t="s">
        <v>892</v>
      </c>
      <c r="D953" s="1685"/>
      <c r="E953" s="1048">
        <f t="shared" ref="E953" si="104">E954</f>
        <v>14600</v>
      </c>
    </row>
    <row r="954" spans="1:5" ht="17.100000000000001" customHeight="1">
      <c r="A954" s="812"/>
      <c r="B954" s="820"/>
      <c r="C954" s="1049" t="s">
        <v>802</v>
      </c>
      <c r="D954" s="1050" t="s">
        <v>803</v>
      </c>
      <c r="E954" s="948">
        <v>14600</v>
      </c>
    </row>
    <row r="955" spans="1:5">
      <c r="A955" s="812"/>
      <c r="B955" s="820"/>
      <c r="C955" s="1051"/>
      <c r="D955" s="1052"/>
      <c r="E955" s="948"/>
    </row>
    <row r="956" spans="1:5">
      <c r="A956" s="812"/>
      <c r="B956" s="820"/>
      <c r="C956" s="1659" t="s">
        <v>813</v>
      </c>
      <c r="D956" s="1602"/>
      <c r="E956" s="868">
        <f>SUM(E957:E978)</f>
        <v>3793141</v>
      </c>
    </row>
    <row r="957" spans="1:5" ht="54" customHeight="1">
      <c r="A957" s="812"/>
      <c r="B957" s="820"/>
      <c r="C957" s="1053" t="s">
        <v>404</v>
      </c>
      <c r="D957" s="1054" t="s">
        <v>940</v>
      </c>
      <c r="E957" s="828">
        <v>1530548</v>
      </c>
    </row>
    <row r="958" spans="1:5" ht="51">
      <c r="A958" s="812"/>
      <c r="B958" s="820"/>
      <c r="C958" s="1055" t="s">
        <v>437</v>
      </c>
      <c r="D958" s="1054" t="s">
        <v>940</v>
      </c>
      <c r="E958" s="828">
        <v>53279</v>
      </c>
    </row>
    <row r="959" spans="1:5">
      <c r="A959" s="812"/>
      <c r="B959" s="820"/>
      <c r="C959" s="1029" t="s">
        <v>391</v>
      </c>
      <c r="D959" s="1030" t="s">
        <v>756</v>
      </c>
      <c r="E959" s="828">
        <v>325810</v>
      </c>
    </row>
    <row r="960" spans="1:5">
      <c r="A960" s="812"/>
      <c r="B960" s="820"/>
      <c r="C960" s="1029" t="s">
        <v>363</v>
      </c>
      <c r="D960" s="1030" t="s">
        <v>756</v>
      </c>
      <c r="E960" s="828">
        <v>21714</v>
      </c>
    </row>
    <row r="961" spans="1:5">
      <c r="A961" s="812"/>
      <c r="B961" s="820"/>
      <c r="C961" s="1029" t="s">
        <v>392</v>
      </c>
      <c r="D961" s="1030" t="s">
        <v>760</v>
      </c>
      <c r="E961" s="828">
        <v>53757</v>
      </c>
    </row>
    <row r="962" spans="1:5">
      <c r="A962" s="812"/>
      <c r="B962" s="820"/>
      <c r="C962" s="1029" t="s">
        <v>337</v>
      </c>
      <c r="D962" s="1030" t="s">
        <v>760</v>
      </c>
      <c r="E962" s="828">
        <v>2536</v>
      </c>
    </row>
    <row r="963" spans="1:5">
      <c r="A963" s="812"/>
      <c r="B963" s="820"/>
      <c r="C963" s="1029" t="s">
        <v>393</v>
      </c>
      <c r="D963" s="1030" t="s">
        <v>762</v>
      </c>
      <c r="E963" s="828">
        <v>7655</v>
      </c>
    </row>
    <row r="964" spans="1:5">
      <c r="A964" s="812"/>
      <c r="B964" s="820"/>
      <c r="C964" s="1029" t="s">
        <v>367</v>
      </c>
      <c r="D964" s="1030" t="s">
        <v>762</v>
      </c>
      <c r="E964" s="828">
        <v>400</v>
      </c>
    </row>
    <row r="965" spans="1:5">
      <c r="A965" s="812"/>
      <c r="B965" s="820"/>
      <c r="C965" s="1029" t="s">
        <v>411</v>
      </c>
      <c r="D965" s="1030" t="s">
        <v>769</v>
      </c>
      <c r="E965" s="828">
        <v>185384</v>
      </c>
    </row>
    <row r="966" spans="1:5">
      <c r="A966" s="812"/>
      <c r="B966" s="820"/>
      <c r="C966" s="1029" t="s">
        <v>342</v>
      </c>
      <c r="D966" s="1030" t="s">
        <v>769</v>
      </c>
      <c r="E966" s="828">
        <v>1944</v>
      </c>
    </row>
    <row r="967" spans="1:5">
      <c r="A967" s="812"/>
      <c r="B967" s="820"/>
      <c r="C967" s="1029" t="s">
        <v>546</v>
      </c>
      <c r="D967" s="1030" t="s">
        <v>771</v>
      </c>
      <c r="E967" s="828">
        <v>7927</v>
      </c>
    </row>
    <row r="968" spans="1:5">
      <c r="A968" s="812"/>
      <c r="B968" s="820"/>
      <c r="C968" s="1029" t="s">
        <v>547</v>
      </c>
      <c r="D968" s="1030" t="s">
        <v>771</v>
      </c>
      <c r="E968" s="828">
        <v>157</v>
      </c>
    </row>
    <row r="969" spans="1:5">
      <c r="A969" s="812"/>
      <c r="B969" s="820"/>
      <c r="C969" s="1029" t="s">
        <v>424</v>
      </c>
      <c r="D969" s="1030" t="s">
        <v>773</v>
      </c>
      <c r="E969" s="828">
        <v>87909</v>
      </c>
    </row>
    <row r="970" spans="1:5">
      <c r="A970" s="812"/>
      <c r="B970" s="820"/>
      <c r="C970" s="1029" t="s">
        <v>373</v>
      </c>
      <c r="D970" s="1030" t="s">
        <v>773</v>
      </c>
      <c r="E970" s="828">
        <v>568</v>
      </c>
    </row>
    <row r="971" spans="1:5">
      <c r="A971" s="812"/>
      <c r="B971" s="820"/>
      <c r="C971" s="1029" t="s">
        <v>394</v>
      </c>
      <c r="D971" s="1030" t="s">
        <v>778</v>
      </c>
      <c r="E971" s="828">
        <v>461305</v>
      </c>
    </row>
    <row r="972" spans="1:5">
      <c r="A972" s="812"/>
      <c r="B972" s="820"/>
      <c r="C972" s="1029" t="s">
        <v>344</v>
      </c>
      <c r="D972" s="1030" t="s">
        <v>778</v>
      </c>
      <c r="E972" s="828">
        <v>26620</v>
      </c>
    </row>
    <row r="973" spans="1:5" ht="25.5">
      <c r="A973" s="812"/>
      <c r="B973" s="820"/>
      <c r="C973" s="1029" t="s">
        <v>552</v>
      </c>
      <c r="D973" s="1030" t="s">
        <v>941</v>
      </c>
      <c r="E973" s="828">
        <v>728670</v>
      </c>
    </row>
    <row r="974" spans="1:5" ht="30.75" customHeight="1">
      <c r="A974" s="812"/>
      <c r="B974" s="820"/>
      <c r="C974" s="1029" t="s">
        <v>553</v>
      </c>
      <c r="D974" s="1030" t="s">
        <v>941</v>
      </c>
      <c r="E974" s="828">
        <v>267162</v>
      </c>
    </row>
    <row r="975" spans="1:5">
      <c r="A975" s="812"/>
      <c r="B975" s="820"/>
      <c r="C975" s="1029" t="s">
        <v>425</v>
      </c>
      <c r="D975" s="1030" t="s">
        <v>942</v>
      </c>
      <c r="E975" s="828">
        <v>4276</v>
      </c>
    </row>
    <row r="976" spans="1:5">
      <c r="A976" s="812"/>
      <c r="B976" s="820"/>
      <c r="C976" s="1029" t="s">
        <v>426</v>
      </c>
      <c r="D976" s="1030" t="s">
        <v>942</v>
      </c>
      <c r="E976" s="828">
        <v>524</v>
      </c>
    </row>
    <row r="977" spans="1:5">
      <c r="A977" s="812"/>
      <c r="B977" s="820"/>
      <c r="C977" s="1026" t="s">
        <v>395</v>
      </c>
      <c r="D977" s="1027" t="s">
        <v>786</v>
      </c>
      <c r="E977" s="1031">
        <v>23949</v>
      </c>
    </row>
    <row r="978" spans="1:5">
      <c r="A978" s="812"/>
      <c r="B978" s="820"/>
      <c r="C978" s="1029" t="s">
        <v>346</v>
      </c>
      <c r="D978" s="1030" t="s">
        <v>786</v>
      </c>
      <c r="E978" s="1047">
        <v>1047</v>
      </c>
    </row>
    <row r="979" spans="1:5">
      <c r="A979" s="812"/>
      <c r="B979" s="820"/>
      <c r="C979" s="852"/>
      <c r="D979" s="852"/>
      <c r="E979" s="853"/>
    </row>
    <row r="980" spans="1:5" ht="13.5" customHeight="1">
      <c r="A980" s="812"/>
      <c r="B980" s="820"/>
      <c r="C980" s="1686" t="s">
        <v>804</v>
      </c>
      <c r="D980" s="1686"/>
      <c r="E980" s="1056">
        <f t="shared" ref="E980" si="105">E981</f>
        <v>43034</v>
      </c>
    </row>
    <row r="981" spans="1:5" ht="15">
      <c r="A981" s="812"/>
      <c r="B981" s="820"/>
      <c r="C981" s="1592" t="s">
        <v>805</v>
      </c>
      <c r="D981" s="1617"/>
      <c r="E981" s="868">
        <f>SUM(E982:E983)</f>
        <v>43034</v>
      </c>
    </row>
    <row r="982" spans="1:5">
      <c r="A982" s="812"/>
      <c r="B982" s="820"/>
      <c r="C982" s="931" t="s">
        <v>397</v>
      </c>
      <c r="D982" s="1050" t="s">
        <v>819</v>
      </c>
      <c r="E982" s="828">
        <v>36579</v>
      </c>
    </row>
    <row r="983" spans="1:5">
      <c r="A983" s="812"/>
      <c r="B983" s="820"/>
      <c r="C983" s="931" t="s">
        <v>850</v>
      </c>
      <c r="D983" s="1050" t="s">
        <v>819</v>
      </c>
      <c r="E983" s="828">
        <v>6455</v>
      </c>
    </row>
    <row r="984" spans="1:5">
      <c r="A984" s="812"/>
      <c r="B984" s="820"/>
      <c r="C984" s="829"/>
      <c r="D984" s="1057"/>
      <c r="E984" s="831"/>
    </row>
    <row r="985" spans="1:5" ht="15">
      <c r="A985" s="812"/>
      <c r="B985" s="820"/>
      <c r="C985" s="1679" t="s">
        <v>811</v>
      </c>
      <c r="D985" s="1687"/>
      <c r="E985" s="841">
        <f>SUM(E986:E987)</f>
        <v>43034</v>
      </c>
    </row>
    <row r="986" spans="1:5">
      <c r="A986" s="812"/>
      <c r="B986" s="820"/>
      <c r="C986" s="849" t="s">
        <v>397</v>
      </c>
      <c r="D986" s="850" t="s">
        <v>819</v>
      </c>
      <c r="E986" s="828">
        <v>36579</v>
      </c>
    </row>
    <row r="987" spans="1:5" ht="13.5" thickBot="1">
      <c r="A987" s="812"/>
      <c r="B987" s="820"/>
      <c r="C987" s="933" t="s">
        <v>850</v>
      </c>
      <c r="D987" s="1057" t="s">
        <v>819</v>
      </c>
      <c r="E987" s="831">
        <v>6455</v>
      </c>
    </row>
    <row r="988" spans="1:5" ht="17.100000000000001" customHeight="1" thickBot="1">
      <c r="A988" s="812"/>
      <c r="B988" s="858" t="s">
        <v>537</v>
      </c>
      <c r="C988" s="859"/>
      <c r="D988" s="860" t="s">
        <v>705</v>
      </c>
      <c r="E988" s="861">
        <f>SUM(E989+E1026)</f>
        <v>12798560</v>
      </c>
    </row>
    <row r="989" spans="1:5" ht="17.100000000000001" customHeight="1">
      <c r="A989" s="812"/>
      <c r="B989" s="820"/>
      <c r="C989" s="1583" t="s">
        <v>753</v>
      </c>
      <c r="D989" s="1583"/>
      <c r="E989" s="817">
        <f t="shared" ref="E989" si="106">E990+E1017+E1020</f>
        <v>10091216</v>
      </c>
    </row>
    <row r="990" spans="1:5" ht="17.100000000000001" customHeight="1">
      <c r="A990" s="812"/>
      <c r="B990" s="820"/>
      <c r="C990" s="1677" t="s">
        <v>754</v>
      </c>
      <c r="D990" s="1677"/>
      <c r="E990" s="828">
        <f t="shared" ref="E990" si="107">E991+E998</f>
        <v>9675455</v>
      </c>
    </row>
    <row r="991" spans="1:5" ht="17.100000000000001" customHeight="1">
      <c r="A991" s="812"/>
      <c r="B991" s="820"/>
      <c r="C991" s="1678" t="s">
        <v>755</v>
      </c>
      <c r="D991" s="1678"/>
      <c r="E991" s="841">
        <f t="shared" ref="E991" si="108">SUM(E992:E996)</f>
        <v>7508704</v>
      </c>
    </row>
    <row r="992" spans="1:5" ht="17.100000000000001" customHeight="1">
      <c r="A992" s="812"/>
      <c r="B992" s="820"/>
      <c r="C992" s="1029" t="s">
        <v>538</v>
      </c>
      <c r="D992" s="1030" t="s">
        <v>756</v>
      </c>
      <c r="E992" s="828">
        <v>5858260</v>
      </c>
    </row>
    <row r="993" spans="1:5" ht="17.100000000000001" customHeight="1">
      <c r="A993" s="812"/>
      <c r="B993" s="820"/>
      <c r="C993" s="1029" t="s">
        <v>757</v>
      </c>
      <c r="D993" s="1030" t="s">
        <v>758</v>
      </c>
      <c r="E993" s="828">
        <v>464942</v>
      </c>
    </row>
    <row r="994" spans="1:5" ht="17.100000000000001" customHeight="1">
      <c r="A994" s="812"/>
      <c r="B994" s="820"/>
      <c r="C994" s="1026" t="s">
        <v>759</v>
      </c>
      <c r="D994" s="1027" t="s">
        <v>760</v>
      </c>
      <c r="E994" s="828">
        <v>1065852</v>
      </c>
    </row>
    <row r="995" spans="1:5" ht="17.100000000000001" customHeight="1">
      <c r="A995" s="812"/>
      <c r="B995" s="820"/>
      <c r="C995" s="1049" t="s">
        <v>761</v>
      </c>
      <c r="D995" s="1050" t="s">
        <v>762</v>
      </c>
      <c r="E995" s="828">
        <v>102670</v>
      </c>
    </row>
    <row r="996" spans="1:5" ht="17.100000000000001" customHeight="1">
      <c r="A996" s="812"/>
      <c r="B996" s="820"/>
      <c r="C996" s="829" t="s">
        <v>763</v>
      </c>
      <c r="D996" s="1057" t="s">
        <v>764</v>
      </c>
      <c r="E996" s="831">
        <v>16980</v>
      </c>
    </row>
    <row r="997" spans="1:5" ht="17.100000000000001" customHeight="1">
      <c r="A997" s="812"/>
      <c r="B997" s="820"/>
      <c r="C997" s="1058"/>
      <c r="D997" s="1058"/>
      <c r="E997" s="1059"/>
    </row>
    <row r="998" spans="1:5" ht="17.100000000000001" customHeight="1">
      <c r="A998" s="812"/>
      <c r="B998" s="820"/>
      <c r="C998" s="1679" t="s">
        <v>765</v>
      </c>
      <c r="D998" s="1679"/>
      <c r="E998" s="1060">
        <f t="shared" ref="E998" si="109">SUM(E999:E1015)</f>
        <v>2166751</v>
      </c>
    </row>
    <row r="999" spans="1:5" ht="17.100000000000001" customHeight="1">
      <c r="A999" s="812"/>
      <c r="B999" s="820"/>
      <c r="C999" s="849" t="s">
        <v>766</v>
      </c>
      <c r="D999" s="850" t="s">
        <v>767</v>
      </c>
      <c r="E999" s="868">
        <v>40642</v>
      </c>
    </row>
    <row r="1000" spans="1:5" ht="17.100000000000001" customHeight="1">
      <c r="A1000" s="812"/>
      <c r="B1000" s="820"/>
      <c r="C1000" s="1029" t="s">
        <v>768</v>
      </c>
      <c r="D1000" s="1030" t="s">
        <v>769</v>
      </c>
      <c r="E1000" s="868">
        <v>240325</v>
      </c>
    </row>
    <row r="1001" spans="1:5" ht="17.100000000000001" customHeight="1">
      <c r="A1001" s="812"/>
      <c r="B1001" s="820"/>
      <c r="C1001" s="1029" t="s">
        <v>770</v>
      </c>
      <c r="D1001" s="1030" t="s">
        <v>771</v>
      </c>
      <c r="E1001" s="868">
        <v>500</v>
      </c>
    </row>
    <row r="1002" spans="1:5" ht="17.100000000000001" customHeight="1">
      <c r="A1002" s="812"/>
      <c r="B1002" s="820"/>
      <c r="C1002" s="1029" t="s">
        <v>872</v>
      </c>
      <c r="D1002" s="1030" t="s">
        <v>873</v>
      </c>
      <c r="E1002" s="868">
        <v>126838</v>
      </c>
    </row>
    <row r="1003" spans="1:5" ht="17.100000000000001" customHeight="1">
      <c r="A1003" s="812"/>
      <c r="B1003" s="820"/>
      <c r="C1003" s="1029" t="s">
        <v>772</v>
      </c>
      <c r="D1003" s="1030" t="s">
        <v>773</v>
      </c>
      <c r="E1003" s="868">
        <v>517173</v>
      </c>
    </row>
    <row r="1004" spans="1:5" ht="17.100000000000001" customHeight="1">
      <c r="A1004" s="812"/>
      <c r="B1004" s="820"/>
      <c r="C1004" s="1029" t="s">
        <v>774</v>
      </c>
      <c r="D1004" s="1030" t="s">
        <v>775</v>
      </c>
      <c r="E1004" s="868">
        <v>23000</v>
      </c>
    </row>
    <row r="1005" spans="1:5" ht="17.100000000000001" customHeight="1">
      <c r="A1005" s="812"/>
      <c r="B1005" s="820"/>
      <c r="C1005" s="1029" t="s">
        <v>776</v>
      </c>
      <c r="D1005" s="1030" t="s">
        <v>777</v>
      </c>
      <c r="E1005" s="868">
        <v>8342</v>
      </c>
    </row>
    <row r="1006" spans="1:5">
      <c r="A1006" s="812"/>
      <c r="B1006" s="820"/>
      <c r="C1006" s="1029" t="s">
        <v>517</v>
      </c>
      <c r="D1006" s="1030" t="s">
        <v>778</v>
      </c>
      <c r="E1006" s="868">
        <v>336646</v>
      </c>
    </row>
    <row r="1007" spans="1:5" ht="30.75" customHeight="1">
      <c r="A1007" s="812"/>
      <c r="B1007" s="820"/>
      <c r="C1007" s="1029" t="s">
        <v>551</v>
      </c>
      <c r="D1007" s="1030" t="s">
        <v>935</v>
      </c>
      <c r="E1007" s="868">
        <v>40000</v>
      </c>
    </row>
    <row r="1008" spans="1:5" ht="16.5" customHeight="1">
      <c r="A1008" s="812"/>
      <c r="B1008" s="820"/>
      <c r="C1008" s="1029" t="s">
        <v>779</v>
      </c>
      <c r="D1008" s="1030" t="s">
        <v>780</v>
      </c>
      <c r="E1008" s="868">
        <v>108010</v>
      </c>
    </row>
    <row r="1009" spans="1:5" ht="20.25" customHeight="1">
      <c r="A1009" s="812"/>
      <c r="B1009" s="820"/>
      <c r="C1009" s="1029" t="s">
        <v>783</v>
      </c>
      <c r="D1009" s="1030" t="s">
        <v>784</v>
      </c>
      <c r="E1009" s="868">
        <v>353320</v>
      </c>
    </row>
    <row r="1010" spans="1:5" ht="17.100000000000001" customHeight="1">
      <c r="A1010" s="812"/>
      <c r="B1010" s="820"/>
      <c r="C1010" s="1026" t="s">
        <v>785</v>
      </c>
      <c r="D1010" s="1027" t="s">
        <v>786</v>
      </c>
      <c r="E1010" s="868">
        <v>15295</v>
      </c>
    </row>
    <row r="1011" spans="1:5" ht="17.100000000000001" customHeight="1">
      <c r="A1011" s="812"/>
      <c r="B1011" s="820"/>
      <c r="C1011" s="931" t="s">
        <v>787</v>
      </c>
      <c r="D1011" s="1050" t="s">
        <v>788</v>
      </c>
      <c r="E1011" s="868">
        <v>25148</v>
      </c>
    </row>
    <row r="1012" spans="1:5" ht="17.100000000000001" customHeight="1">
      <c r="A1012" s="812"/>
      <c r="B1012" s="820"/>
      <c r="C1012" s="849" t="s">
        <v>789</v>
      </c>
      <c r="D1012" s="850" t="s">
        <v>790</v>
      </c>
      <c r="E1012" s="868">
        <v>314500</v>
      </c>
    </row>
    <row r="1013" spans="1:5" ht="17.100000000000001" customHeight="1">
      <c r="A1013" s="812"/>
      <c r="B1013" s="820"/>
      <c r="C1013" s="1029" t="s">
        <v>795</v>
      </c>
      <c r="D1013" s="1030" t="s">
        <v>796</v>
      </c>
      <c r="E1013" s="828">
        <v>812</v>
      </c>
    </row>
    <row r="1014" spans="1:5" ht="17.100000000000001" customHeight="1">
      <c r="A1014" s="812"/>
      <c r="B1014" s="820"/>
      <c r="C1014" s="1029" t="s">
        <v>797</v>
      </c>
      <c r="D1014" s="1030" t="s">
        <v>798</v>
      </c>
      <c r="E1014" s="828">
        <v>1000</v>
      </c>
    </row>
    <row r="1015" spans="1:5" ht="17.100000000000001" customHeight="1">
      <c r="A1015" s="812"/>
      <c r="B1015" s="820"/>
      <c r="C1015" s="1029" t="s">
        <v>799</v>
      </c>
      <c r="D1015" s="1030" t="s">
        <v>800</v>
      </c>
      <c r="E1015" s="828">
        <v>15200</v>
      </c>
    </row>
    <row r="1016" spans="1:5" ht="17.100000000000001" customHeight="1">
      <c r="A1016" s="812"/>
      <c r="B1016" s="820"/>
      <c r="C1016" s="838"/>
      <c r="D1016" s="838"/>
      <c r="E1016" s="825"/>
    </row>
    <row r="1017" spans="1:5" ht="17.100000000000001" customHeight="1">
      <c r="A1017" s="812"/>
      <c r="B1017" s="820"/>
      <c r="C1017" s="1689" t="s">
        <v>892</v>
      </c>
      <c r="D1017" s="1689"/>
      <c r="E1017" s="1031">
        <f t="shared" ref="E1017" si="110">E1018</f>
        <v>11003</v>
      </c>
    </row>
    <row r="1018" spans="1:5">
      <c r="A1018" s="812"/>
      <c r="B1018" s="820"/>
      <c r="C1018" s="1061" t="s">
        <v>802</v>
      </c>
      <c r="D1018" s="1040" t="s">
        <v>803</v>
      </c>
      <c r="E1018" s="828">
        <v>11003</v>
      </c>
    </row>
    <row r="1019" spans="1:5">
      <c r="A1019" s="812"/>
      <c r="B1019" s="820"/>
      <c r="C1019" s="1062"/>
      <c r="D1019" s="1063"/>
      <c r="E1019" s="853"/>
    </row>
    <row r="1020" spans="1:5">
      <c r="A1020" s="812"/>
      <c r="B1020" s="820"/>
      <c r="C1020" s="1690" t="s">
        <v>813</v>
      </c>
      <c r="D1020" s="1690"/>
      <c r="E1020" s="1031">
        <f t="shared" ref="E1020" si="111">SUM(E1021:E1024)</f>
        <v>404758</v>
      </c>
    </row>
    <row r="1021" spans="1:5">
      <c r="A1021" s="812"/>
      <c r="B1021" s="820"/>
      <c r="C1021" s="1029" t="s">
        <v>538</v>
      </c>
      <c r="D1021" s="1030" t="s">
        <v>756</v>
      </c>
      <c r="E1021" s="1041">
        <v>22500</v>
      </c>
    </row>
    <row r="1022" spans="1:5">
      <c r="A1022" s="812"/>
      <c r="B1022" s="820"/>
      <c r="C1022" s="1029" t="s">
        <v>517</v>
      </c>
      <c r="D1022" s="1030" t="s">
        <v>778</v>
      </c>
      <c r="E1022" s="1041">
        <v>8602</v>
      </c>
    </row>
    <row r="1023" spans="1:5">
      <c r="A1023" s="812"/>
      <c r="B1023" s="820"/>
      <c r="C1023" s="1029" t="s">
        <v>394</v>
      </c>
      <c r="D1023" s="1030" t="s">
        <v>778</v>
      </c>
      <c r="E1023" s="1041">
        <v>317607</v>
      </c>
    </row>
    <row r="1024" spans="1:5">
      <c r="A1024" s="812"/>
      <c r="B1024" s="820"/>
      <c r="C1024" s="1026" t="s">
        <v>344</v>
      </c>
      <c r="D1024" s="1027" t="s">
        <v>778</v>
      </c>
      <c r="E1024" s="1064">
        <v>56049</v>
      </c>
    </row>
    <row r="1025" spans="1:5">
      <c r="A1025" s="812"/>
      <c r="B1025" s="820"/>
      <c r="C1025" s="1065"/>
      <c r="D1025" s="1066"/>
      <c r="E1025" s="1067"/>
    </row>
    <row r="1026" spans="1:5">
      <c r="A1026" s="812"/>
      <c r="B1026" s="820"/>
      <c r="C1026" s="1686" t="s">
        <v>804</v>
      </c>
      <c r="D1026" s="1686"/>
      <c r="E1026" s="1056">
        <f>E1027</f>
        <v>2707344</v>
      </c>
    </row>
    <row r="1027" spans="1:5" ht="15">
      <c r="A1027" s="812"/>
      <c r="B1027" s="820"/>
      <c r="C1027" s="1592" t="s">
        <v>805</v>
      </c>
      <c r="D1027" s="1617"/>
      <c r="E1027" s="868">
        <f>SUM(E1028:E1030)</f>
        <v>2707344</v>
      </c>
    </row>
    <row r="1028" spans="1:5">
      <c r="A1028" s="812"/>
      <c r="B1028" s="820"/>
      <c r="C1028" s="829" t="s">
        <v>401</v>
      </c>
      <c r="D1028" s="1057" t="s">
        <v>819</v>
      </c>
      <c r="E1028" s="1031">
        <v>73039</v>
      </c>
    </row>
    <row r="1029" spans="1:5">
      <c r="A1029" s="812"/>
      <c r="B1029" s="820"/>
      <c r="C1029" s="931" t="s">
        <v>397</v>
      </c>
      <c r="D1029" s="1050" t="s">
        <v>819</v>
      </c>
      <c r="E1029" s="828">
        <v>2239159</v>
      </c>
    </row>
    <row r="1030" spans="1:5">
      <c r="A1030" s="812"/>
      <c r="B1030" s="820"/>
      <c r="C1030" s="931" t="s">
        <v>850</v>
      </c>
      <c r="D1030" s="1050" t="s">
        <v>819</v>
      </c>
      <c r="E1030" s="828">
        <v>395146</v>
      </c>
    </row>
    <row r="1031" spans="1:5">
      <c r="A1031" s="812"/>
      <c r="B1031" s="820"/>
      <c r="C1031" s="829"/>
      <c r="D1031" s="1057"/>
      <c r="E1031" s="831"/>
    </row>
    <row r="1032" spans="1:5" ht="15">
      <c r="A1032" s="812"/>
      <c r="B1032" s="820"/>
      <c r="C1032" s="1679" t="s">
        <v>811</v>
      </c>
      <c r="D1032" s="1687"/>
      <c r="E1032" s="841">
        <f t="shared" ref="E1032" si="112">SUM(E1033:E1034)</f>
        <v>2634305</v>
      </c>
    </row>
    <row r="1033" spans="1:5">
      <c r="A1033" s="812"/>
      <c r="B1033" s="820"/>
      <c r="C1033" s="849" t="s">
        <v>397</v>
      </c>
      <c r="D1033" s="850" t="s">
        <v>819</v>
      </c>
      <c r="E1033" s="828">
        <v>2239159</v>
      </c>
    </row>
    <row r="1034" spans="1:5">
      <c r="A1034" s="812"/>
      <c r="B1034" s="1068"/>
      <c r="C1034" s="1069" t="s">
        <v>850</v>
      </c>
      <c r="D1034" s="1070" t="s">
        <v>819</v>
      </c>
      <c r="E1034" s="868">
        <v>395146</v>
      </c>
    </row>
    <row r="1035" spans="1:5" ht="17.100000000000001" customHeight="1" thickBot="1">
      <c r="A1035" s="812"/>
      <c r="B1035" s="1071" t="s">
        <v>943</v>
      </c>
      <c r="C1035" s="1072"/>
      <c r="D1035" s="1073" t="s">
        <v>944</v>
      </c>
      <c r="E1035" s="1074">
        <f>E1036</f>
        <v>141743</v>
      </c>
    </row>
    <row r="1036" spans="1:5">
      <c r="A1036" s="812"/>
      <c r="B1036" s="820"/>
      <c r="C1036" s="1583" t="s">
        <v>753</v>
      </c>
      <c r="D1036" s="1583"/>
      <c r="E1036" s="817">
        <f>E1037</f>
        <v>141743</v>
      </c>
    </row>
    <row r="1037" spans="1:5">
      <c r="A1037" s="812"/>
      <c r="B1037" s="820"/>
      <c r="C1037" s="1677" t="s">
        <v>754</v>
      </c>
      <c r="D1037" s="1677"/>
      <c r="E1037" s="828">
        <f>E1038+E1043</f>
        <v>141743</v>
      </c>
    </row>
    <row r="1038" spans="1:5">
      <c r="A1038" s="812"/>
      <c r="B1038" s="820"/>
      <c r="C1038" s="1678" t="s">
        <v>755</v>
      </c>
      <c r="D1038" s="1678"/>
      <c r="E1038" s="841">
        <f>SUM(E1039:E1042)</f>
        <v>124384</v>
      </c>
    </row>
    <row r="1039" spans="1:5">
      <c r="A1039" s="812"/>
      <c r="B1039" s="820"/>
      <c r="C1039" s="1029" t="s">
        <v>538</v>
      </c>
      <c r="D1039" s="1030" t="s">
        <v>756</v>
      </c>
      <c r="E1039" s="828">
        <v>103965</v>
      </c>
    </row>
    <row r="1040" spans="1:5">
      <c r="A1040" s="812"/>
      <c r="B1040" s="820"/>
      <c r="C1040" s="1026" t="s">
        <v>759</v>
      </c>
      <c r="D1040" s="1027" t="s">
        <v>760</v>
      </c>
      <c r="E1040" s="828">
        <v>17872</v>
      </c>
    </row>
    <row r="1041" spans="1:5">
      <c r="A1041" s="812"/>
      <c r="B1041" s="820"/>
      <c r="C1041" s="1049" t="s">
        <v>761</v>
      </c>
      <c r="D1041" s="1050" t="s">
        <v>762</v>
      </c>
      <c r="E1041" s="828">
        <v>2547</v>
      </c>
    </row>
    <row r="1042" spans="1:5">
      <c r="A1042" s="812"/>
      <c r="B1042" s="820"/>
      <c r="C1042" s="933"/>
      <c r="D1042" s="1057"/>
      <c r="E1042" s="831"/>
    </row>
    <row r="1043" spans="1:5">
      <c r="A1043" s="812"/>
      <c r="B1043" s="820"/>
      <c r="C1043" s="1679" t="s">
        <v>765</v>
      </c>
      <c r="D1043" s="1679"/>
      <c r="E1043" s="1060">
        <f>SUM(E1044:E1049)</f>
        <v>17359</v>
      </c>
    </row>
    <row r="1044" spans="1:5">
      <c r="A1044" s="812"/>
      <c r="B1044" s="820"/>
      <c r="C1044" s="849" t="s">
        <v>768</v>
      </c>
      <c r="D1044" s="850" t="s">
        <v>769</v>
      </c>
      <c r="E1044" s="868">
        <v>1893</v>
      </c>
    </row>
    <row r="1045" spans="1:5">
      <c r="A1045" s="812"/>
      <c r="B1045" s="820"/>
      <c r="C1045" s="1029" t="s">
        <v>872</v>
      </c>
      <c r="D1045" s="1030" t="s">
        <v>873</v>
      </c>
      <c r="E1045" s="868">
        <v>600</v>
      </c>
    </row>
    <row r="1046" spans="1:5">
      <c r="A1046" s="812"/>
      <c r="B1046" s="820"/>
      <c r="C1046" s="1029" t="s">
        <v>772</v>
      </c>
      <c r="D1046" s="1030" t="s">
        <v>773</v>
      </c>
      <c r="E1046" s="868">
        <v>5684</v>
      </c>
    </row>
    <row r="1047" spans="1:5">
      <c r="A1047" s="812"/>
      <c r="B1047" s="820"/>
      <c r="C1047" s="1029" t="s">
        <v>517</v>
      </c>
      <c r="D1047" s="1030" t="s">
        <v>778</v>
      </c>
      <c r="E1047" s="868">
        <v>2250</v>
      </c>
    </row>
    <row r="1048" spans="1:5">
      <c r="A1048" s="812"/>
      <c r="B1048" s="820"/>
      <c r="C1048" s="1029" t="s">
        <v>789</v>
      </c>
      <c r="D1048" s="1030" t="s">
        <v>790</v>
      </c>
      <c r="E1048" s="868">
        <v>6538</v>
      </c>
    </row>
    <row r="1049" spans="1:5" ht="13.5" thickBot="1">
      <c r="A1049" s="812"/>
      <c r="B1049" s="820"/>
      <c r="C1049" s="1029" t="s">
        <v>795</v>
      </c>
      <c r="D1049" s="1030" t="s">
        <v>796</v>
      </c>
      <c r="E1049" s="868">
        <v>394</v>
      </c>
    </row>
    <row r="1050" spans="1:5" ht="17.100000000000001" customHeight="1" thickBot="1">
      <c r="A1050" s="812"/>
      <c r="B1050" s="858" t="s">
        <v>523</v>
      </c>
      <c r="C1050" s="859"/>
      <c r="D1050" s="860" t="s">
        <v>213</v>
      </c>
      <c r="E1050" s="861">
        <f>E1051+E1073</f>
        <v>11486870</v>
      </c>
    </row>
    <row r="1051" spans="1:5" ht="17.100000000000001" customHeight="1">
      <c r="A1051" s="812"/>
      <c r="B1051" s="820"/>
      <c r="C1051" s="1583" t="s">
        <v>753</v>
      </c>
      <c r="D1051" s="1583"/>
      <c r="E1051" s="817">
        <f>E1052+E1064+E1068</f>
        <v>11246270</v>
      </c>
    </row>
    <row r="1052" spans="1:5" ht="17.100000000000001" customHeight="1">
      <c r="A1052" s="812"/>
      <c r="B1052" s="820"/>
      <c r="C1052" s="1677" t="s">
        <v>754</v>
      </c>
      <c r="D1052" s="1677"/>
      <c r="E1052" s="828">
        <f t="shared" ref="E1052" si="113">E1053+E1059</f>
        <v>663940</v>
      </c>
    </row>
    <row r="1053" spans="1:5" ht="17.100000000000001" customHeight="1">
      <c r="A1053" s="812"/>
      <c r="B1053" s="820"/>
      <c r="C1053" s="1678" t="s">
        <v>755</v>
      </c>
      <c r="D1053" s="1678"/>
      <c r="E1053" s="841">
        <f t="shared" ref="E1053" si="114">SUM(E1054:E1057)</f>
        <v>54878</v>
      </c>
    </row>
    <row r="1054" spans="1:5" ht="17.100000000000001" customHeight="1">
      <c r="A1054" s="812"/>
      <c r="B1054" s="820"/>
      <c r="C1054" s="1029" t="s">
        <v>538</v>
      </c>
      <c r="D1054" s="1030" t="s">
        <v>756</v>
      </c>
      <c r="E1054" s="828">
        <v>43195</v>
      </c>
    </row>
    <row r="1055" spans="1:5" ht="17.100000000000001" customHeight="1">
      <c r="A1055" s="812"/>
      <c r="B1055" s="820"/>
      <c r="C1055" s="1029" t="s">
        <v>759</v>
      </c>
      <c r="D1055" s="1030" t="s">
        <v>760</v>
      </c>
      <c r="E1055" s="828">
        <v>7425</v>
      </c>
    </row>
    <row r="1056" spans="1:5" ht="17.100000000000001" customHeight="1">
      <c r="A1056" s="812"/>
      <c r="B1056" s="820"/>
      <c r="C1056" s="1029" t="s">
        <v>761</v>
      </c>
      <c r="D1056" s="1030" t="s">
        <v>762</v>
      </c>
      <c r="E1056" s="828">
        <v>1058</v>
      </c>
    </row>
    <row r="1057" spans="1:5" ht="17.100000000000001" customHeight="1">
      <c r="A1057" s="812"/>
      <c r="B1057" s="820"/>
      <c r="C1057" s="1029" t="s">
        <v>763</v>
      </c>
      <c r="D1057" s="1030" t="s">
        <v>764</v>
      </c>
      <c r="E1057" s="828">
        <v>3200</v>
      </c>
    </row>
    <row r="1058" spans="1:5" ht="17.100000000000001" customHeight="1">
      <c r="A1058" s="812"/>
      <c r="B1058" s="820"/>
      <c r="C1058" s="838"/>
      <c r="D1058" s="838"/>
      <c r="E1058" s="825"/>
    </row>
    <row r="1059" spans="1:5" ht="17.100000000000001" customHeight="1">
      <c r="A1059" s="812"/>
      <c r="B1059" s="820"/>
      <c r="C1059" s="1679" t="s">
        <v>765</v>
      </c>
      <c r="D1059" s="1679"/>
      <c r="E1059" s="841">
        <f t="shared" ref="E1059" si="115">SUM(E1060:E1062)</f>
        <v>609062</v>
      </c>
    </row>
    <row r="1060" spans="1:5" ht="17.100000000000001" customHeight="1">
      <c r="A1060" s="812"/>
      <c r="B1060" s="820"/>
      <c r="C1060" s="1029" t="s">
        <v>768</v>
      </c>
      <c r="D1060" s="1030" t="s">
        <v>769</v>
      </c>
      <c r="E1060" s="828">
        <v>14000</v>
      </c>
    </row>
    <row r="1061" spans="1:5" ht="17.100000000000001" customHeight="1">
      <c r="A1061" s="812"/>
      <c r="B1061" s="820"/>
      <c r="C1061" s="1029" t="s">
        <v>517</v>
      </c>
      <c r="D1061" s="1030" t="s">
        <v>778</v>
      </c>
      <c r="E1061" s="828">
        <v>23000</v>
      </c>
    </row>
    <row r="1062" spans="1:5" ht="17.100000000000001" customHeight="1">
      <c r="A1062" s="812"/>
      <c r="B1062" s="820"/>
      <c r="C1062" s="1029" t="s">
        <v>789</v>
      </c>
      <c r="D1062" s="1030" t="s">
        <v>790</v>
      </c>
      <c r="E1062" s="828">
        <v>572062</v>
      </c>
    </row>
    <row r="1063" spans="1:5" ht="17.100000000000001" customHeight="1">
      <c r="A1063" s="812"/>
      <c r="B1063" s="820"/>
      <c r="C1063" s="838"/>
      <c r="D1063" s="838"/>
      <c r="E1063" s="825"/>
    </row>
    <row r="1064" spans="1:5" ht="17.100000000000001" customHeight="1">
      <c r="A1064" s="812"/>
      <c r="B1064" s="820"/>
      <c r="C1064" s="1680" t="s">
        <v>815</v>
      </c>
      <c r="D1064" s="1689"/>
      <c r="E1064" s="828">
        <f>SUM(E1065:E1066)</f>
        <v>10239135</v>
      </c>
    </row>
    <row r="1065" spans="1:5" ht="62.25" customHeight="1">
      <c r="A1065" s="812"/>
      <c r="B1065" s="820"/>
      <c r="C1065" s="1075" t="s">
        <v>435</v>
      </c>
      <c r="D1065" s="1040" t="s">
        <v>945</v>
      </c>
      <c r="E1065" s="1031">
        <v>6787664</v>
      </c>
    </row>
    <row r="1066" spans="1:5" ht="51">
      <c r="A1066" s="812"/>
      <c r="B1066" s="820"/>
      <c r="C1066" s="976" t="s">
        <v>437</v>
      </c>
      <c r="D1066" s="1076" t="s">
        <v>836</v>
      </c>
      <c r="E1066" s="828">
        <v>3451471</v>
      </c>
    </row>
    <row r="1067" spans="1:5" ht="17.100000000000001" customHeight="1">
      <c r="A1067" s="812"/>
      <c r="B1067" s="820"/>
      <c r="C1067" s="838"/>
      <c r="D1067" s="838"/>
      <c r="E1067" s="825"/>
    </row>
    <row r="1068" spans="1:5" ht="17.100000000000001" customHeight="1">
      <c r="A1068" s="812"/>
      <c r="B1068" s="820"/>
      <c r="C1068" s="1680" t="s">
        <v>892</v>
      </c>
      <c r="D1068" s="1680"/>
      <c r="E1068" s="828">
        <f t="shared" ref="E1068" si="116">SUM(E1069:E1071)</f>
        <v>343195</v>
      </c>
    </row>
    <row r="1069" spans="1:5" ht="17.100000000000001" customHeight="1">
      <c r="A1069" s="812"/>
      <c r="B1069" s="820"/>
      <c r="C1069" s="1029" t="s">
        <v>802</v>
      </c>
      <c r="D1069" s="1030" t="s">
        <v>803</v>
      </c>
      <c r="E1069" s="828">
        <v>43195</v>
      </c>
    </row>
    <row r="1070" spans="1:5" ht="17.100000000000001" customHeight="1">
      <c r="A1070" s="812"/>
      <c r="B1070" s="820"/>
      <c r="C1070" s="1029" t="s">
        <v>946</v>
      </c>
      <c r="D1070" s="1030" t="s">
        <v>947</v>
      </c>
      <c r="E1070" s="828">
        <v>100000</v>
      </c>
    </row>
    <row r="1071" spans="1:5" ht="17.100000000000001" customHeight="1">
      <c r="A1071" s="812"/>
      <c r="B1071" s="820"/>
      <c r="C1071" s="1029" t="s">
        <v>948</v>
      </c>
      <c r="D1071" s="1030" t="s">
        <v>937</v>
      </c>
      <c r="E1071" s="828">
        <v>200000</v>
      </c>
    </row>
    <row r="1072" spans="1:5" ht="17.100000000000001" customHeight="1">
      <c r="A1072" s="812"/>
      <c r="B1072" s="820"/>
      <c r="C1072" s="838"/>
      <c r="D1072" s="838"/>
      <c r="E1072" s="825"/>
    </row>
    <row r="1073" spans="1:5" ht="17.100000000000001" customHeight="1">
      <c r="A1073" s="812"/>
      <c r="B1073" s="820"/>
      <c r="C1073" s="1686" t="s">
        <v>804</v>
      </c>
      <c r="D1073" s="1686"/>
      <c r="E1073" s="832">
        <f>E1074</f>
        <v>240600</v>
      </c>
    </row>
    <row r="1074" spans="1:5">
      <c r="A1074" s="812"/>
      <c r="B1074" s="820"/>
      <c r="C1074" s="1680" t="s">
        <v>805</v>
      </c>
      <c r="D1074" s="1680"/>
      <c r="E1074" s="828">
        <f>SUM(E1075:E1076)</f>
        <v>240600</v>
      </c>
    </row>
    <row r="1075" spans="1:5" ht="42" customHeight="1">
      <c r="A1075" s="812"/>
      <c r="B1075" s="820"/>
      <c r="C1075" s="1026" t="s">
        <v>329</v>
      </c>
      <c r="D1075" s="934" t="s">
        <v>840</v>
      </c>
      <c r="E1075" s="1031">
        <v>18000</v>
      </c>
    </row>
    <row r="1076" spans="1:5" ht="51.75" thickBot="1">
      <c r="A1076" s="812"/>
      <c r="B1076" s="820"/>
      <c r="C1076" s="1029" t="s">
        <v>326</v>
      </c>
      <c r="D1076" s="1077" t="s">
        <v>838</v>
      </c>
      <c r="E1076" s="1047">
        <v>222600</v>
      </c>
    </row>
    <row r="1077" spans="1:5" ht="17.100000000000001" customHeight="1" thickBot="1">
      <c r="A1077" s="807" t="s">
        <v>949</v>
      </c>
      <c r="B1077" s="869"/>
      <c r="C1077" s="870"/>
      <c r="D1077" s="871" t="s">
        <v>950</v>
      </c>
      <c r="E1077" s="872">
        <f>SUM(E1078,E1087)</f>
        <v>368000</v>
      </c>
    </row>
    <row r="1078" spans="1:5" ht="17.100000000000001" customHeight="1" thickBot="1">
      <c r="A1078" s="812"/>
      <c r="B1078" s="858" t="s">
        <v>951</v>
      </c>
      <c r="C1078" s="859"/>
      <c r="D1078" s="860" t="s">
        <v>952</v>
      </c>
      <c r="E1078" s="861">
        <f t="shared" ref="E1078" si="117">E1079</f>
        <v>218000</v>
      </c>
    </row>
    <row r="1079" spans="1:5" ht="17.100000000000001" customHeight="1">
      <c r="A1079" s="812"/>
      <c r="B1079" s="1691"/>
      <c r="C1079" s="1692" t="s">
        <v>753</v>
      </c>
      <c r="D1079" s="1692"/>
      <c r="E1079" s="1078">
        <f>E1080+E1085</f>
        <v>218000</v>
      </c>
    </row>
    <row r="1080" spans="1:5" ht="17.100000000000001" customHeight="1">
      <c r="A1080" s="812"/>
      <c r="B1080" s="1587"/>
      <c r="C1080" s="1677" t="s">
        <v>754</v>
      </c>
      <c r="D1080" s="1677"/>
      <c r="E1080" s="828">
        <f t="shared" ref="E1080" si="118">SUM(E1081)</f>
        <v>18000</v>
      </c>
    </row>
    <row r="1081" spans="1:5" ht="17.100000000000001" customHeight="1">
      <c r="A1081" s="812"/>
      <c r="B1081" s="1587"/>
      <c r="C1081" s="1679" t="s">
        <v>765</v>
      </c>
      <c r="D1081" s="1679"/>
      <c r="E1081" s="841">
        <f>SUM(E1082:E1083)</f>
        <v>18000</v>
      </c>
    </row>
    <row r="1082" spans="1:5" ht="17.100000000000001" customHeight="1">
      <c r="A1082" s="812"/>
      <c r="B1082" s="1587"/>
      <c r="C1082" s="1079" t="s">
        <v>517</v>
      </c>
      <c r="D1082" s="1030" t="s">
        <v>778</v>
      </c>
      <c r="E1082" s="828">
        <v>3000</v>
      </c>
    </row>
    <row r="1083" spans="1:5" ht="17.100000000000001" customHeight="1">
      <c r="A1083" s="812"/>
      <c r="B1083" s="1587"/>
      <c r="C1083" s="1079" t="s">
        <v>825</v>
      </c>
      <c r="D1083" s="1030" t="s">
        <v>826</v>
      </c>
      <c r="E1083" s="828">
        <v>15000</v>
      </c>
    </row>
    <row r="1084" spans="1:5" ht="17.100000000000001" customHeight="1">
      <c r="A1084" s="812"/>
      <c r="B1084" s="1587"/>
      <c r="C1084" s="1079"/>
      <c r="D1084" s="1080"/>
      <c r="E1084" s="828"/>
    </row>
    <row r="1085" spans="1:5" ht="17.100000000000001" customHeight="1">
      <c r="A1085" s="812"/>
      <c r="B1085" s="1587"/>
      <c r="C1085" s="1680" t="s">
        <v>892</v>
      </c>
      <c r="D1085" s="1680"/>
      <c r="E1085" s="828">
        <f t="shared" ref="E1085" si="119">E1086</f>
        <v>200000</v>
      </c>
    </row>
    <row r="1086" spans="1:5" ht="17.100000000000001" customHeight="1" thickBot="1">
      <c r="A1086" s="812"/>
      <c r="B1086" s="1673"/>
      <c r="C1086" s="1081" t="s">
        <v>953</v>
      </c>
      <c r="D1086" s="1082" t="s">
        <v>954</v>
      </c>
      <c r="E1086" s="835">
        <v>200000</v>
      </c>
    </row>
    <row r="1087" spans="1:5" ht="17.100000000000001" customHeight="1" thickBot="1">
      <c r="A1087" s="812"/>
      <c r="B1087" s="858" t="s">
        <v>955</v>
      </c>
      <c r="C1087" s="859"/>
      <c r="D1087" s="860" t="s">
        <v>213</v>
      </c>
      <c r="E1087" s="861">
        <f>E1088</f>
        <v>150000</v>
      </c>
    </row>
    <row r="1088" spans="1:5" ht="17.100000000000001" customHeight="1">
      <c r="A1088" s="812"/>
      <c r="B1088" s="1587"/>
      <c r="C1088" s="1583" t="s">
        <v>753</v>
      </c>
      <c r="D1088" s="1583"/>
      <c r="E1088" s="817">
        <f>E1089</f>
        <v>150000</v>
      </c>
    </row>
    <row r="1089" spans="1:5" ht="17.100000000000001" customHeight="1">
      <c r="A1089" s="812"/>
      <c r="B1089" s="1587"/>
      <c r="C1089" s="1677" t="s">
        <v>754</v>
      </c>
      <c r="D1089" s="1677"/>
      <c r="E1089" s="828">
        <f t="shared" ref="E1089:E1090" si="120">E1090</f>
        <v>150000</v>
      </c>
    </row>
    <row r="1090" spans="1:5" ht="17.100000000000001" customHeight="1">
      <c r="A1090" s="812"/>
      <c r="B1090" s="1587"/>
      <c r="C1090" s="1679" t="s">
        <v>765</v>
      </c>
      <c r="D1090" s="1679"/>
      <c r="E1090" s="841">
        <f t="shared" si="120"/>
        <v>150000</v>
      </c>
    </row>
    <row r="1091" spans="1:5" ht="17.100000000000001" customHeight="1" thickBot="1">
      <c r="A1091" s="812"/>
      <c r="B1091" s="1587"/>
      <c r="C1091" s="1026" t="s">
        <v>517</v>
      </c>
      <c r="D1091" s="1027" t="s">
        <v>778</v>
      </c>
      <c r="E1091" s="1031">
        <v>150000</v>
      </c>
    </row>
    <row r="1092" spans="1:5" ht="17.100000000000001" customHeight="1" thickBot="1">
      <c r="A1092" s="807" t="s">
        <v>127</v>
      </c>
      <c r="B1092" s="808"/>
      <c r="C1092" s="809"/>
      <c r="D1092" s="810" t="s">
        <v>956</v>
      </c>
      <c r="E1092" s="811">
        <f>E1093+E1103+E1111+E1115+E1119+E1128+E1132+E1140+E1145</f>
        <v>36189678</v>
      </c>
    </row>
    <row r="1093" spans="1:5" ht="17.100000000000001" customHeight="1" thickBot="1">
      <c r="A1093" s="812"/>
      <c r="B1093" s="858" t="s">
        <v>330</v>
      </c>
      <c r="C1093" s="859"/>
      <c r="D1093" s="860" t="s">
        <v>957</v>
      </c>
      <c r="E1093" s="861">
        <f>E1094+E1099</f>
        <v>30780632</v>
      </c>
    </row>
    <row r="1094" spans="1:5" ht="17.100000000000001" customHeight="1">
      <c r="A1094" s="812"/>
      <c r="B1094" s="1693"/>
      <c r="C1094" s="1583" t="s">
        <v>753</v>
      </c>
      <c r="D1094" s="1583"/>
      <c r="E1094" s="817">
        <f>E1096</f>
        <v>145000</v>
      </c>
    </row>
    <row r="1095" spans="1:5" ht="0.75" customHeight="1">
      <c r="A1095" s="812"/>
      <c r="B1095" s="1693"/>
      <c r="C1095" s="1075"/>
      <c r="D1095" s="1083"/>
      <c r="E1095" s="1084"/>
    </row>
    <row r="1096" spans="1:5" ht="17.100000000000001" customHeight="1">
      <c r="A1096" s="812"/>
      <c r="B1096" s="1693"/>
      <c r="C1096" s="1694" t="s">
        <v>14</v>
      </c>
      <c r="D1096" s="1695"/>
      <c r="E1096" s="828">
        <f>E1097</f>
        <v>145000</v>
      </c>
    </row>
    <row r="1097" spans="1:5" ht="25.5">
      <c r="A1097" s="812"/>
      <c r="B1097" s="1693"/>
      <c r="C1097" s="1085" t="s">
        <v>958</v>
      </c>
      <c r="D1097" s="1086" t="s">
        <v>959</v>
      </c>
      <c r="E1097" s="828">
        <v>145000</v>
      </c>
    </row>
    <row r="1098" spans="1:5" ht="17.100000000000001" customHeight="1">
      <c r="A1098" s="812"/>
      <c r="B1098" s="1693"/>
      <c r="C1098" s="1087"/>
      <c r="D1098" s="1087"/>
      <c r="E1098" s="1088"/>
    </row>
    <row r="1099" spans="1:5" ht="17.100000000000001" customHeight="1">
      <c r="A1099" s="812"/>
      <c r="B1099" s="1693"/>
      <c r="C1099" s="1696" t="s">
        <v>804</v>
      </c>
      <c r="D1099" s="1696"/>
      <c r="E1099" s="832">
        <f>E1100</f>
        <v>30635632</v>
      </c>
    </row>
    <row r="1100" spans="1:5" ht="17.100000000000001" customHeight="1">
      <c r="A1100" s="812"/>
      <c r="B1100" s="1693"/>
      <c r="C1100" s="1697" t="s">
        <v>805</v>
      </c>
      <c r="D1100" s="1697"/>
      <c r="E1100" s="828">
        <f>SUM(E1101:E1102)</f>
        <v>30635632</v>
      </c>
    </row>
    <row r="1101" spans="1:5" ht="43.5" customHeight="1">
      <c r="A1101" s="812"/>
      <c r="B1101" s="1088"/>
      <c r="C1101" s="1044" t="s">
        <v>329</v>
      </c>
      <c r="D1101" s="1089" t="s">
        <v>840</v>
      </c>
      <c r="E1101" s="828">
        <v>7005946</v>
      </c>
    </row>
    <row r="1102" spans="1:5" ht="37.5" customHeight="1" thickBot="1">
      <c r="A1102" s="812"/>
      <c r="B1102" s="1088"/>
      <c r="C1102" s="1029" t="s">
        <v>960</v>
      </c>
      <c r="D1102" s="1030" t="s">
        <v>961</v>
      </c>
      <c r="E1102" s="828">
        <v>23629686</v>
      </c>
    </row>
    <row r="1103" spans="1:5" ht="15" customHeight="1" thickBot="1">
      <c r="A1103" s="812"/>
      <c r="B1103" s="1090" t="s">
        <v>962</v>
      </c>
      <c r="C1103" s="1091"/>
      <c r="D1103" s="1092" t="s">
        <v>709</v>
      </c>
      <c r="E1103" s="861">
        <f t="shared" ref="E1103" si="121">E1108+E1104</f>
        <v>1266796</v>
      </c>
    </row>
    <row r="1104" spans="1:5" ht="15">
      <c r="A1104" s="812"/>
      <c r="B1104" s="1587"/>
      <c r="C1104" s="1616" t="s">
        <v>753</v>
      </c>
      <c r="D1104" s="1699"/>
      <c r="E1104" s="909">
        <f t="shared" ref="E1104:E1105" si="122">E1105</f>
        <v>35000</v>
      </c>
    </row>
    <row r="1105" spans="1:5" ht="15">
      <c r="A1105" s="812"/>
      <c r="B1105" s="1587"/>
      <c r="C1105" s="1700" t="s">
        <v>14</v>
      </c>
      <c r="D1105" s="1701"/>
      <c r="E1105" s="910">
        <f t="shared" si="122"/>
        <v>35000</v>
      </c>
    </row>
    <row r="1106" spans="1:5" ht="28.5" customHeight="1">
      <c r="A1106" s="812"/>
      <c r="B1106" s="1587"/>
      <c r="C1106" s="1093" t="s">
        <v>958</v>
      </c>
      <c r="D1106" s="1094" t="s">
        <v>959</v>
      </c>
      <c r="E1106" s="910">
        <v>35000</v>
      </c>
    </row>
    <row r="1107" spans="1:5" ht="15">
      <c r="A1107" s="812"/>
      <c r="B1107" s="1587"/>
      <c r="C1107" s="1095"/>
      <c r="D1107" s="842"/>
      <c r="E1107" s="843"/>
    </row>
    <row r="1108" spans="1:5" ht="12.75" customHeight="1">
      <c r="A1108" s="812"/>
      <c r="B1108" s="1587"/>
      <c r="C1108" s="1702" t="s">
        <v>804</v>
      </c>
      <c r="D1108" s="1702"/>
      <c r="E1108" s="832">
        <f t="shared" ref="E1108:E1109" si="123">E1109</f>
        <v>1231796</v>
      </c>
    </row>
    <row r="1109" spans="1:5" ht="12.75" customHeight="1">
      <c r="A1109" s="812"/>
      <c r="B1109" s="1587"/>
      <c r="C1109" s="1703" t="s">
        <v>805</v>
      </c>
      <c r="D1109" s="1703"/>
      <c r="E1109" s="1031">
        <f t="shared" si="123"/>
        <v>1231796</v>
      </c>
    </row>
    <row r="1110" spans="1:5" ht="39" thickBot="1">
      <c r="A1110" s="812"/>
      <c r="B1110" s="1587"/>
      <c r="C1110" s="965" t="s">
        <v>960</v>
      </c>
      <c r="D1110" s="966" t="s">
        <v>961</v>
      </c>
      <c r="E1110" s="835">
        <v>1231796</v>
      </c>
    </row>
    <row r="1111" spans="1:5" ht="17.100000000000001" customHeight="1" thickBot="1">
      <c r="A1111" s="812"/>
      <c r="B1111" s="977" t="s">
        <v>963</v>
      </c>
      <c r="C1111" s="859"/>
      <c r="D1111" s="860" t="s">
        <v>964</v>
      </c>
      <c r="E1111" s="861">
        <f t="shared" ref="E1111:E1112" si="124">SUM(E1112)</f>
        <v>800000</v>
      </c>
    </row>
    <row r="1112" spans="1:5">
      <c r="A1112" s="812"/>
      <c r="B1112" s="1587"/>
      <c r="C1112" s="1704" t="s">
        <v>804</v>
      </c>
      <c r="D1112" s="1704"/>
      <c r="E1112" s="868">
        <f t="shared" si="124"/>
        <v>800000</v>
      </c>
    </row>
    <row r="1113" spans="1:5">
      <c r="A1113" s="812"/>
      <c r="B1113" s="1587"/>
      <c r="C1113" s="1697" t="s">
        <v>805</v>
      </c>
      <c r="D1113" s="1697"/>
      <c r="E1113" s="828">
        <f t="shared" ref="E1113" si="125">E1114</f>
        <v>800000</v>
      </c>
    </row>
    <row r="1114" spans="1:5" ht="39" thickBot="1">
      <c r="A1114" s="812"/>
      <c r="B1114" s="1587"/>
      <c r="C1114" s="1096" t="s">
        <v>960</v>
      </c>
      <c r="D1114" s="1097" t="s">
        <v>961</v>
      </c>
      <c r="E1114" s="1098">
        <v>800000</v>
      </c>
    </row>
    <row r="1115" spans="1:5" ht="13.5" thickBot="1">
      <c r="A1115" s="812"/>
      <c r="B1115" s="858" t="s">
        <v>237</v>
      </c>
      <c r="C1115" s="859"/>
      <c r="D1115" s="860" t="s">
        <v>238</v>
      </c>
      <c r="E1115" s="861">
        <f t="shared" ref="E1115:E1117" si="126">E1116</f>
        <v>640000</v>
      </c>
    </row>
    <row r="1116" spans="1:5">
      <c r="A1116" s="812"/>
      <c r="B1116" s="1587"/>
      <c r="C1116" s="1593" t="s">
        <v>804</v>
      </c>
      <c r="D1116" s="1593"/>
      <c r="E1116" s="817">
        <f t="shared" si="126"/>
        <v>640000</v>
      </c>
    </row>
    <row r="1117" spans="1:5">
      <c r="A1117" s="812"/>
      <c r="B1117" s="1587"/>
      <c r="C1117" s="1697" t="s">
        <v>860</v>
      </c>
      <c r="D1117" s="1697"/>
      <c r="E1117" s="828">
        <f t="shared" si="126"/>
        <v>640000</v>
      </c>
    </row>
    <row r="1118" spans="1:5" ht="39" thickBot="1">
      <c r="A1118" s="812"/>
      <c r="B1118" s="1587"/>
      <c r="C1118" s="1096" t="s">
        <v>960</v>
      </c>
      <c r="D1118" s="1097" t="s">
        <v>961</v>
      </c>
      <c r="E1118" s="1098">
        <v>640000</v>
      </c>
    </row>
    <row r="1119" spans="1:5" ht="17.100000000000001" customHeight="1" thickBot="1">
      <c r="A1119" s="812"/>
      <c r="B1119" s="858" t="s">
        <v>965</v>
      </c>
      <c r="C1119" s="859"/>
      <c r="D1119" s="860" t="s">
        <v>966</v>
      </c>
      <c r="E1119" s="861">
        <f>SUM(E1120)</f>
        <v>2297550</v>
      </c>
    </row>
    <row r="1120" spans="1:5" ht="17.100000000000001" customHeight="1">
      <c r="A1120" s="812"/>
      <c r="B1120" s="820"/>
      <c r="C1120" s="1583" t="s">
        <v>753</v>
      </c>
      <c r="D1120" s="1583"/>
      <c r="E1120" s="817">
        <f t="shared" ref="E1120" si="127">E1121+E1125</f>
        <v>2297550</v>
      </c>
    </row>
    <row r="1121" spans="1:5" ht="17.100000000000001" customHeight="1">
      <c r="A1121" s="812"/>
      <c r="B1121" s="820"/>
      <c r="C1121" s="1695" t="s">
        <v>754</v>
      </c>
      <c r="D1121" s="1695"/>
      <c r="E1121" s="828">
        <f t="shared" ref="E1121:E1122" si="128">E1122</f>
        <v>1195000</v>
      </c>
    </row>
    <row r="1122" spans="1:5" ht="17.100000000000001" customHeight="1">
      <c r="A1122" s="812"/>
      <c r="B1122" s="1642"/>
      <c r="C1122" s="1698" t="s">
        <v>765</v>
      </c>
      <c r="D1122" s="1698"/>
      <c r="E1122" s="841">
        <f t="shared" si="128"/>
        <v>1195000</v>
      </c>
    </row>
    <row r="1123" spans="1:5" ht="17.100000000000001" customHeight="1">
      <c r="A1123" s="812"/>
      <c r="B1123" s="1642"/>
      <c r="C1123" s="1029" t="s">
        <v>776</v>
      </c>
      <c r="D1123" s="1030" t="s">
        <v>777</v>
      </c>
      <c r="E1123" s="828">
        <v>1195000</v>
      </c>
    </row>
    <row r="1124" spans="1:5" ht="17.100000000000001" customHeight="1">
      <c r="A1124" s="812"/>
      <c r="B1124" s="1642"/>
      <c r="C1124" s="838"/>
      <c r="D1124" s="838"/>
      <c r="E1124" s="825"/>
    </row>
    <row r="1125" spans="1:5" ht="17.100000000000001" customHeight="1">
      <c r="A1125" s="812"/>
      <c r="B1125" s="1642"/>
      <c r="C1125" s="1697" t="s">
        <v>815</v>
      </c>
      <c r="D1125" s="1697"/>
      <c r="E1125" s="828">
        <f t="shared" ref="E1125" si="129">E1126</f>
        <v>1102550</v>
      </c>
    </row>
    <row r="1126" spans="1:5" ht="36" customHeight="1">
      <c r="A1126" s="812"/>
      <c r="B1126" s="1642"/>
      <c r="C1126" s="1029" t="s">
        <v>958</v>
      </c>
      <c r="D1126" s="1030" t="s">
        <v>959</v>
      </c>
      <c r="E1126" s="828">
        <v>1102550</v>
      </c>
    </row>
    <row r="1127" spans="1:5" ht="13.5" thickBot="1">
      <c r="A1127" s="812"/>
      <c r="B1127" s="820"/>
      <c r="C1127" s="1706"/>
      <c r="D1127" s="1706"/>
      <c r="E1127" s="828"/>
    </row>
    <row r="1128" spans="1:5" ht="17.100000000000001" customHeight="1" thickBot="1">
      <c r="A1128" s="812"/>
      <c r="B1128" s="858" t="s">
        <v>128</v>
      </c>
      <c r="C1128" s="859"/>
      <c r="D1128" s="860" t="s">
        <v>967</v>
      </c>
      <c r="E1128" s="861">
        <f t="shared" ref="E1128:E1129" si="130">E1129</f>
        <v>100000</v>
      </c>
    </row>
    <row r="1129" spans="1:5" ht="17.100000000000001" customHeight="1">
      <c r="A1129" s="812"/>
      <c r="B1129" s="1587"/>
      <c r="C1129" s="1593" t="s">
        <v>753</v>
      </c>
      <c r="D1129" s="1593"/>
      <c r="E1129" s="817">
        <f t="shared" si="130"/>
        <v>100000</v>
      </c>
    </row>
    <row r="1130" spans="1:5" ht="17.100000000000001" customHeight="1">
      <c r="A1130" s="812"/>
      <c r="B1130" s="1587"/>
      <c r="C1130" s="1697" t="s">
        <v>815</v>
      </c>
      <c r="D1130" s="1697"/>
      <c r="E1130" s="828">
        <f>SUM(E1131:E1131)</f>
        <v>100000</v>
      </c>
    </row>
    <row r="1131" spans="1:5" ht="50.25" customHeight="1" thickBot="1">
      <c r="A1131" s="812"/>
      <c r="B1131" s="1587"/>
      <c r="C1131" s="1096" t="s">
        <v>827</v>
      </c>
      <c r="D1131" s="1097" t="s">
        <v>828</v>
      </c>
      <c r="E1131" s="1098">
        <v>100000</v>
      </c>
    </row>
    <row r="1132" spans="1:5" ht="17.100000000000001" customHeight="1" thickBot="1">
      <c r="A1132" s="812"/>
      <c r="B1132" s="858" t="s">
        <v>129</v>
      </c>
      <c r="C1132" s="859"/>
      <c r="D1132" s="860" t="s">
        <v>968</v>
      </c>
      <c r="E1132" s="861">
        <f t="shared" ref="E1132" si="131">SUM(E1133)</f>
        <v>240200</v>
      </c>
    </row>
    <row r="1133" spans="1:5" ht="17.100000000000001" customHeight="1">
      <c r="A1133" s="812"/>
      <c r="B1133" s="820"/>
      <c r="C1133" s="1583" t="s">
        <v>753</v>
      </c>
      <c r="D1133" s="1583"/>
      <c r="E1133" s="817">
        <f>E1134+E1138</f>
        <v>240200</v>
      </c>
    </row>
    <row r="1134" spans="1:5" ht="17.100000000000001" customHeight="1">
      <c r="A1134" s="812"/>
      <c r="B1134" s="820"/>
      <c r="C1134" s="1695" t="s">
        <v>754</v>
      </c>
      <c r="D1134" s="1695"/>
      <c r="E1134" s="828">
        <f t="shared" ref="E1134" si="132">E1135</f>
        <v>20000</v>
      </c>
    </row>
    <row r="1135" spans="1:5" ht="17.100000000000001" customHeight="1">
      <c r="A1135" s="812"/>
      <c r="B1135" s="820"/>
      <c r="C1135" s="1698" t="s">
        <v>765</v>
      </c>
      <c r="D1135" s="1698"/>
      <c r="E1135" s="828">
        <f>SUM(E1136:E1136)</f>
        <v>20000</v>
      </c>
    </row>
    <row r="1136" spans="1:5" ht="17.100000000000001" customHeight="1">
      <c r="A1136" s="812"/>
      <c r="B1136" s="820"/>
      <c r="C1136" s="1418" t="s">
        <v>824</v>
      </c>
      <c r="D1136" s="1419" t="s">
        <v>814</v>
      </c>
      <c r="E1136" s="1420">
        <v>20000</v>
      </c>
    </row>
    <row r="1137" spans="1:5" ht="17.100000000000001" customHeight="1" thickBot="1">
      <c r="A1137" s="812"/>
      <c r="B1137" s="820"/>
      <c r="C1137" s="1421"/>
      <c r="D1137" s="1422"/>
      <c r="E1137" s="1423"/>
    </row>
    <row r="1138" spans="1:5" ht="17.100000000000001" customHeight="1">
      <c r="A1138" s="812"/>
      <c r="B1138" s="820"/>
      <c r="C1138" s="1705" t="s">
        <v>815</v>
      </c>
      <c r="D1138" s="1705"/>
      <c r="E1138" s="868">
        <f t="shared" ref="E1138" si="133">SUM(E1139:E1139)</f>
        <v>220200</v>
      </c>
    </row>
    <row r="1139" spans="1:5" ht="42.75" customHeight="1" thickBot="1">
      <c r="A1139" s="812"/>
      <c r="B1139" s="820"/>
      <c r="C1139" s="1096" t="s">
        <v>827</v>
      </c>
      <c r="D1139" s="1097" t="s">
        <v>828</v>
      </c>
      <c r="E1139" s="1098">
        <v>220200</v>
      </c>
    </row>
    <row r="1140" spans="1:5" ht="27.75" customHeight="1" thickBot="1">
      <c r="A1140" s="812"/>
      <c r="B1140" s="858" t="s">
        <v>239</v>
      </c>
      <c r="C1140" s="859"/>
      <c r="D1140" s="860" t="s">
        <v>257</v>
      </c>
      <c r="E1140" s="861">
        <f t="shared" ref="E1140:E1143" si="134">E1141</f>
        <v>27000</v>
      </c>
    </row>
    <row r="1141" spans="1:5" ht="17.100000000000001" customHeight="1">
      <c r="A1141" s="812"/>
      <c r="B1141" s="1587"/>
      <c r="C1141" s="1583" t="s">
        <v>753</v>
      </c>
      <c r="D1141" s="1583"/>
      <c r="E1141" s="817">
        <f t="shared" si="134"/>
        <v>27000</v>
      </c>
    </row>
    <row r="1142" spans="1:5" ht="17.100000000000001" customHeight="1">
      <c r="A1142" s="812"/>
      <c r="B1142" s="1587"/>
      <c r="C1142" s="1695" t="s">
        <v>754</v>
      </c>
      <c r="D1142" s="1695"/>
      <c r="E1142" s="828">
        <f t="shared" si="134"/>
        <v>27000</v>
      </c>
    </row>
    <row r="1143" spans="1:5" ht="17.100000000000001" customHeight="1">
      <c r="A1143" s="812"/>
      <c r="B1143" s="1587"/>
      <c r="C1143" s="1698" t="s">
        <v>765</v>
      </c>
      <c r="D1143" s="1698"/>
      <c r="E1143" s="828">
        <f t="shared" si="134"/>
        <v>27000</v>
      </c>
    </row>
    <row r="1144" spans="1:5" ht="17.100000000000001" customHeight="1" thickBot="1">
      <c r="A1144" s="812"/>
      <c r="B1144" s="1587"/>
      <c r="C1144" s="1096" t="s">
        <v>969</v>
      </c>
      <c r="D1144" s="1097" t="s">
        <v>970</v>
      </c>
      <c r="E1144" s="1098">
        <v>27000</v>
      </c>
    </row>
    <row r="1145" spans="1:5" ht="17.100000000000001" customHeight="1" thickBot="1">
      <c r="A1145" s="812"/>
      <c r="B1145" s="858" t="s">
        <v>241</v>
      </c>
      <c r="C1145" s="859"/>
      <c r="D1145" s="860" t="s">
        <v>213</v>
      </c>
      <c r="E1145" s="861">
        <f>SUM(E1146)</f>
        <v>37500</v>
      </c>
    </row>
    <row r="1146" spans="1:5" ht="17.100000000000001" customHeight="1">
      <c r="A1146" s="812"/>
      <c r="B1146" s="837"/>
      <c r="C1146" s="1583" t="s">
        <v>753</v>
      </c>
      <c r="D1146" s="1583"/>
      <c r="E1146" s="817">
        <f>E1147</f>
        <v>37500</v>
      </c>
    </row>
    <row r="1147" spans="1:5" ht="17.100000000000001" customHeight="1">
      <c r="A1147" s="812"/>
      <c r="B1147" s="820"/>
      <c r="C1147" s="1695" t="s">
        <v>754</v>
      </c>
      <c r="D1147" s="1695"/>
      <c r="E1147" s="1099">
        <f t="shared" ref="E1147" si="135">E1148+E1151</f>
        <v>37500</v>
      </c>
    </row>
    <row r="1148" spans="1:5" ht="17.100000000000001" customHeight="1">
      <c r="A1148" s="812"/>
      <c r="B1148" s="820"/>
      <c r="C1148" s="1708" t="s">
        <v>755</v>
      </c>
      <c r="D1148" s="1708"/>
      <c r="E1148" s="1099">
        <f t="shared" ref="E1148" si="136">SUM(E1149:E1149)</f>
        <v>34700</v>
      </c>
    </row>
    <row r="1149" spans="1:5" ht="17.100000000000001" customHeight="1">
      <c r="A1149" s="812"/>
      <c r="B1149" s="820"/>
      <c r="C1149" s="1029" t="s">
        <v>763</v>
      </c>
      <c r="D1149" s="1030" t="s">
        <v>764</v>
      </c>
      <c r="E1149" s="1047">
        <v>34700</v>
      </c>
    </row>
    <row r="1150" spans="1:5" ht="17.100000000000001" customHeight="1">
      <c r="A1150" s="812"/>
      <c r="B1150" s="820"/>
      <c r="C1150" s="838"/>
      <c r="D1150" s="838"/>
      <c r="E1150" s="825"/>
    </row>
    <row r="1151" spans="1:5" ht="17.100000000000001" customHeight="1">
      <c r="A1151" s="812"/>
      <c r="B1151" s="820"/>
      <c r="C1151" s="1709" t="s">
        <v>765</v>
      </c>
      <c r="D1151" s="1709"/>
      <c r="E1151" s="1031">
        <f>SUM(E1152:E1152)</f>
        <v>2800</v>
      </c>
    </row>
    <row r="1152" spans="1:5" ht="17.100000000000001" customHeight="1" thickBot="1">
      <c r="A1152" s="812"/>
      <c r="B1152" s="820"/>
      <c r="C1152" s="931" t="s">
        <v>517</v>
      </c>
      <c r="D1152" s="1050" t="s">
        <v>778</v>
      </c>
      <c r="E1152" s="828">
        <v>2800</v>
      </c>
    </row>
    <row r="1153" spans="1:5" ht="17.100000000000001" customHeight="1" thickBot="1">
      <c r="A1153" s="807" t="s">
        <v>130</v>
      </c>
      <c r="B1153" s="808"/>
      <c r="C1153" s="809"/>
      <c r="D1153" s="810" t="s">
        <v>971</v>
      </c>
      <c r="E1153" s="811">
        <f>SUM(E1154,E1158,E1207)</f>
        <v>24687553</v>
      </c>
    </row>
    <row r="1154" spans="1:5" ht="17.100000000000001" customHeight="1" thickBot="1">
      <c r="A1154" s="1023"/>
      <c r="B1154" s="977" t="s">
        <v>131</v>
      </c>
      <c r="C1154" s="978"/>
      <c r="D1154" s="979" t="s">
        <v>712</v>
      </c>
      <c r="E1154" s="861">
        <f t="shared" ref="E1154" si="137">E1155</f>
        <v>150000</v>
      </c>
    </row>
    <row r="1155" spans="1:5" ht="17.100000000000001" customHeight="1">
      <c r="A1155" s="1023"/>
      <c r="B1155" s="1710"/>
      <c r="C1155" s="1583" t="s">
        <v>753</v>
      </c>
      <c r="D1155" s="1583"/>
      <c r="E1155" s="817">
        <f>E1156</f>
        <v>150000</v>
      </c>
    </row>
    <row r="1156" spans="1:5" ht="17.100000000000001" customHeight="1">
      <c r="A1156" s="1023"/>
      <c r="B1156" s="1710"/>
      <c r="C1156" s="1695" t="s">
        <v>815</v>
      </c>
      <c r="D1156" s="1695"/>
      <c r="E1156" s="828">
        <f>SUM(E1157:E1157)</f>
        <v>150000</v>
      </c>
    </row>
    <row r="1157" spans="1:5" ht="39" thickBot="1">
      <c r="A1157" s="1023"/>
      <c r="B1157" s="1710"/>
      <c r="C1157" s="1100" t="s">
        <v>827</v>
      </c>
      <c r="D1157" s="1101" t="s">
        <v>972</v>
      </c>
      <c r="E1157" s="1031">
        <v>150000</v>
      </c>
    </row>
    <row r="1158" spans="1:5" ht="17.100000000000001" customHeight="1" thickBot="1">
      <c r="A1158" s="812"/>
      <c r="B1158" s="858" t="s">
        <v>132</v>
      </c>
      <c r="C1158" s="859"/>
      <c r="D1158" s="860" t="s">
        <v>714</v>
      </c>
      <c r="E1158" s="861">
        <f t="shared" ref="E1158" si="138">E1159+E1204</f>
        <v>3781083</v>
      </c>
    </row>
    <row r="1159" spans="1:5" ht="17.100000000000001" customHeight="1">
      <c r="A1159" s="812"/>
      <c r="B1159" s="820"/>
      <c r="C1159" s="1583" t="s">
        <v>753</v>
      </c>
      <c r="D1159" s="1583"/>
      <c r="E1159" s="817">
        <f t="shared" ref="E1159" si="139">E1160+E1189+E1192</f>
        <v>3702083</v>
      </c>
    </row>
    <row r="1160" spans="1:5" ht="17.100000000000001" customHeight="1">
      <c r="A1160" s="812"/>
      <c r="B1160" s="820"/>
      <c r="C1160" s="1695" t="s">
        <v>754</v>
      </c>
      <c r="D1160" s="1695"/>
      <c r="E1160" s="828">
        <f t="shared" ref="E1160" si="140">E1161+E1168</f>
        <v>2512183</v>
      </c>
    </row>
    <row r="1161" spans="1:5" ht="17.100000000000001" customHeight="1">
      <c r="A1161" s="812"/>
      <c r="B1161" s="820"/>
      <c r="C1161" s="1708" t="s">
        <v>755</v>
      </c>
      <c r="D1161" s="1708"/>
      <c r="E1161" s="841">
        <f t="shared" ref="E1161" si="141">SUM(E1162:E1166)</f>
        <v>1974703</v>
      </c>
    </row>
    <row r="1162" spans="1:5" ht="17.100000000000001" customHeight="1">
      <c r="A1162" s="812"/>
      <c r="B1162" s="820"/>
      <c r="C1162" s="1029" t="s">
        <v>538</v>
      </c>
      <c r="D1162" s="1030" t="s">
        <v>756</v>
      </c>
      <c r="E1162" s="828">
        <v>1487096</v>
      </c>
    </row>
    <row r="1163" spans="1:5" ht="17.100000000000001" customHeight="1">
      <c r="A1163" s="812"/>
      <c r="B1163" s="820"/>
      <c r="C1163" s="1029" t="s">
        <v>757</v>
      </c>
      <c r="D1163" s="1030" t="s">
        <v>758</v>
      </c>
      <c r="E1163" s="828">
        <v>148295</v>
      </c>
    </row>
    <row r="1164" spans="1:5" ht="17.100000000000001" customHeight="1">
      <c r="A1164" s="812"/>
      <c r="B1164" s="820"/>
      <c r="C1164" s="1029" t="s">
        <v>759</v>
      </c>
      <c r="D1164" s="1030" t="s">
        <v>760</v>
      </c>
      <c r="E1164" s="828">
        <v>272394</v>
      </c>
    </row>
    <row r="1165" spans="1:5" ht="17.100000000000001" customHeight="1">
      <c r="A1165" s="812"/>
      <c r="B1165" s="820"/>
      <c r="C1165" s="1029" t="s">
        <v>761</v>
      </c>
      <c r="D1165" s="1030" t="s">
        <v>762</v>
      </c>
      <c r="E1165" s="828">
        <v>39418</v>
      </c>
    </row>
    <row r="1166" spans="1:5" ht="17.100000000000001" customHeight="1">
      <c r="A1166" s="812"/>
      <c r="B1166" s="820"/>
      <c r="C1166" s="849" t="s">
        <v>763</v>
      </c>
      <c r="D1166" s="850" t="s">
        <v>764</v>
      </c>
      <c r="E1166" s="828">
        <v>27500</v>
      </c>
    </row>
    <row r="1167" spans="1:5" ht="17.100000000000001" customHeight="1">
      <c r="A1167" s="812"/>
      <c r="B1167" s="820"/>
      <c r="C1167" s="838"/>
      <c r="D1167" s="838"/>
      <c r="E1167" s="825"/>
    </row>
    <row r="1168" spans="1:5" ht="17.100000000000001" customHeight="1">
      <c r="A1168" s="812"/>
      <c r="B1168" s="820"/>
      <c r="C1168" s="1698" t="s">
        <v>765</v>
      </c>
      <c r="D1168" s="1698"/>
      <c r="E1168" s="841">
        <f t="shared" ref="E1168" si="142">SUM(E1169:E1187)</f>
        <v>537480</v>
      </c>
    </row>
    <row r="1169" spans="1:5" ht="17.100000000000001" customHeight="1">
      <c r="A1169" s="812"/>
      <c r="B1169" s="820"/>
      <c r="C1169" s="1029" t="s">
        <v>766</v>
      </c>
      <c r="D1169" s="1030" t="s">
        <v>767</v>
      </c>
      <c r="E1169" s="828">
        <v>8376</v>
      </c>
    </row>
    <row r="1170" spans="1:5" ht="17.100000000000001" customHeight="1">
      <c r="A1170" s="812"/>
      <c r="B1170" s="820"/>
      <c r="C1170" s="1029" t="s">
        <v>824</v>
      </c>
      <c r="D1170" s="1030" t="s">
        <v>814</v>
      </c>
      <c r="E1170" s="828">
        <v>22000</v>
      </c>
    </row>
    <row r="1171" spans="1:5" ht="17.100000000000001" customHeight="1">
      <c r="A1171" s="812"/>
      <c r="B1171" s="820"/>
      <c r="C1171" s="1029" t="s">
        <v>768</v>
      </c>
      <c r="D1171" s="1030" t="s">
        <v>769</v>
      </c>
      <c r="E1171" s="828">
        <v>56891</v>
      </c>
    </row>
    <row r="1172" spans="1:5" ht="17.100000000000001" customHeight="1">
      <c r="A1172" s="812"/>
      <c r="B1172" s="820"/>
      <c r="C1172" s="1029" t="s">
        <v>770</v>
      </c>
      <c r="D1172" s="1030" t="s">
        <v>771</v>
      </c>
      <c r="E1172" s="828">
        <v>5000</v>
      </c>
    </row>
    <row r="1173" spans="1:5" ht="17.100000000000001" customHeight="1">
      <c r="A1173" s="812"/>
      <c r="B1173" s="820"/>
      <c r="C1173" s="1029" t="s">
        <v>772</v>
      </c>
      <c r="D1173" s="1030" t="s">
        <v>773</v>
      </c>
      <c r="E1173" s="828">
        <v>36000</v>
      </c>
    </row>
    <row r="1174" spans="1:5" ht="17.100000000000001" customHeight="1">
      <c r="A1174" s="812"/>
      <c r="B1174" s="820"/>
      <c r="C1174" s="1029" t="s">
        <v>774</v>
      </c>
      <c r="D1174" s="1030" t="s">
        <v>775</v>
      </c>
      <c r="E1174" s="828">
        <v>9787</v>
      </c>
    </row>
    <row r="1175" spans="1:5" ht="17.100000000000001" customHeight="1">
      <c r="A1175" s="812"/>
      <c r="B1175" s="820"/>
      <c r="C1175" s="1029" t="s">
        <v>776</v>
      </c>
      <c r="D1175" s="1030" t="s">
        <v>777</v>
      </c>
      <c r="E1175" s="828">
        <v>4500</v>
      </c>
    </row>
    <row r="1176" spans="1:5" ht="17.100000000000001" customHeight="1">
      <c r="A1176" s="812"/>
      <c r="B1176" s="820"/>
      <c r="C1176" s="1029" t="s">
        <v>517</v>
      </c>
      <c r="D1176" s="1030" t="s">
        <v>778</v>
      </c>
      <c r="E1176" s="828">
        <v>196913</v>
      </c>
    </row>
    <row r="1177" spans="1:5" ht="16.5" customHeight="1">
      <c r="A1177" s="812"/>
      <c r="B1177" s="820"/>
      <c r="C1177" s="1029" t="s">
        <v>779</v>
      </c>
      <c r="D1177" s="1030" t="s">
        <v>780</v>
      </c>
      <c r="E1177" s="828">
        <v>18500</v>
      </c>
    </row>
    <row r="1178" spans="1:5" ht="16.5" customHeight="1">
      <c r="A1178" s="812"/>
      <c r="B1178" s="820"/>
      <c r="C1178" s="1029" t="s">
        <v>884</v>
      </c>
      <c r="D1178" s="1030" t="s">
        <v>878</v>
      </c>
      <c r="E1178" s="828">
        <v>2000</v>
      </c>
    </row>
    <row r="1179" spans="1:5" ht="16.5" customHeight="1">
      <c r="A1179" s="812"/>
      <c r="B1179" s="820"/>
      <c r="C1179" s="1029" t="s">
        <v>781</v>
      </c>
      <c r="D1179" s="1030" t="s">
        <v>782</v>
      </c>
      <c r="E1179" s="828">
        <v>55000</v>
      </c>
    </row>
    <row r="1180" spans="1:5" ht="20.100000000000001" customHeight="1">
      <c r="A1180" s="812"/>
      <c r="B1180" s="820"/>
      <c r="C1180" s="1029" t="s">
        <v>783</v>
      </c>
      <c r="D1180" s="1030" t="s">
        <v>784</v>
      </c>
      <c r="E1180" s="828">
        <v>17544</v>
      </c>
    </row>
    <row r="1181" spans="1:5" ht="17.100000000000001" customHeight="1">
      <c r="A1181" s="812"/>
      <c r="B1181" s="820"/>
      <c r="C1181" s="1029" t="s">
        <v>785</v>
      </c>
      <c r="D1181" s="1030" t="s">
        <v>786</v>
      </c>
      <c r="E1181" s="828">
        <v>13015</v>
      </c>
    </row>
    <row r="1182" spans="1:5" ht="17.100000000000001" customHeight="1">
      <c r="A1182" s="812"/>
      <c r="B1182" s="820"/>
      <c r="C1182" s="1029" t="s">
        <v>853</v>
      </c>
      <c r="D1182" s="1030" t="s">
        <v>854</v>
      </c>
      <c r="E1182" s="828">
        <v>5000</v>
      </c>
    </row>
    <row r="1183" spans="1:5" ht="17.100000000000001" customHeight="1">
      <c r="A1183" s="812"/>
      <c r="B1183" s="820"/>
      <c r="C1183" s="1029" t="s">
        <v>787</v>
      </c>
      <c r="D1183" s="1030" t="s">
        <v>788</v>
      </c>
      <c r="E1183" s="828">
        <v>1500</v>
      </c>
    </row>
    <row r="1184" spans="1:5" ht="17.100000000000001" customHeight="1">
      <c r="A1184" s="812"/>
      <c r="B1184" s="820"/>
      <c r="C1184" s="1029" t="s">
        <v>789</v>
      </c>
      <c r="D1184" s="1030" t="s">
        <v>790</v>
      </c>
      <c r="E1184" s="828">
        <v>56269</v>
      </c>
    </row>
    <row r="1185" spans="1:5" ht="17.100000000000001" customHeight="1">
      <c r="A1185" s="812"/>
      <c r="B1185" s="820"/>
      <c r="C1185" s="1029" t="s">
        <v>791</v>
      </c>
      <c r="D1185" s="1030" t="s">
        <v>792</v>
      </c>
      <c r="E1185" s="828">
        <v>7000</v>
      </c>
    </row>
    <row r="1186" spans="1:5" ht="17.100000000000001" customHeight="1">
      <c r="A1186" s="812"/>
      <c r="B1186" s="820"/>
      <c r="C1186" s="1029" t="s">
        <v>795</v>
      </c>
      <c r="D1186" s="1030" t="s">
        <v>796</v>
      </c>
      <c r="E1186" s="828">
        <v>11185</v>
      </c>
    </row>
    <row r="1187" spans="1:5" ht="17.100000000000001" customHeight="1">
      <c r="A1187" s="812"/>
      <c r="B1187" s="820"/>
      <c r="C1187" s="1096" t="s">
        <v>799</v>
      </c>
      <c r="D1187" s="1097" t="s">
        <v>800</v>
      </c>
      <c r="E1187" s="828">
        <v>11000</v>
      </c>
    </row>
    <row r="1188" spans="1:5" ht="17.100000000000001" customHeight="1">
      <c r="A1188" s="812"/>
      <c r="B1188" s="820"/>
      <c r="C1188" s="1102"/>
      <c r="D1188" s="1038"/>
      <c r="E1188" s="847"/>
    </row>
    <row r="1189" spans="1:5" ht="17.100000000000001" customHeight="1">
      <c r="A1189" s="812"/>
      <c r="B1189" s="820"/>
      <c r="C1189" s="1592" t="s">
        <v>815</v>
      </c>
      <c r="D1189" s="1592"/>
      <c r="E1189" s="868">
        <f t="shared" ref="E1189" si="143">E1190</f>
        <v>1180000</v>
      </c>
    </row>
    <row r="1190" spans="1:5" ht="40.5" customHeight="1">
      <c r="A1190" s="812"/>
      <c r="B1190" s="820"/>
      <c r="C1190" s="1029" t="s">
        <v>827</v>
      </c>
      <c r="D1190" s="1030" t="s">
        <v>828</v>
      </c>
      <c r="E1190" s="828">
        <v>1180000</v>
      </c>
    </row>
    <row r="1191" spans="1:5" ht="17.100000000000001" customHeight="1">
      <c r="A1191" s="812"/>
      <c r="B1191" s="820"/>
      <c r="C1191" s="838"/>
      <c r="D1191" s="838"/>
      <c r="E1191" s="825"/>
    </row>
    <row r="1192" spans="1:5" ht="17.100000000000001" customHeight="1">
      <c r="A1192" s="812"/>
      <c r="B1192" s="1642"/>
      <c r="C1192" s="1703" t="s">
        <v>801</v>
      </c>
      <c r="D1192" s="1703"/>
      <c r="E1192" s="1031">
        <f t="shared" ref="E1192" si="144">SUM(E1193:E1202)</f>
        <v>9900</v>
      </c>
    </row>
    <row r="1193" spans="1:5" ht="12" customHeight="1">
      <c r="A1193" s="812"/>
      <c r="B1193" s="1642"/>
      <c r="C1193" s="1029" t="s">
        <v>802</v>
      </c>
      <c r="D1193" s="1030" t="s">
        <v>803</v>
      </c>
      <c r="E1193" s="1047">
        <v>8400</v>
      </c>
    </row>
    <row r="1194" spans="1:5" ht="17.100000000000001" hidden="1" customHeight="1">
      <c r="A1194" s="812"/>
      <c r="B1194" s="1642"/>
      <c r="C1194" s="1103"/>
      <c r="D1194" s="1104" t="s">
        <v>973</v>
      </c>
      <c r="E1194" s="887"/>
    </row>
    <row r="1195" spans="1:5" ht="17.100000000000001" hidden="1" customHeight="1">
      <c r="A1195" s="812"/>
      <c r="B1195" s="1642"/>
      <c r="C1195" s="1707" t="s">
        <v>753</v>
      </c>
      <c r="D1195" s="1707"/>
      <c r="E1195" s="832"/>
    </row>
    <row r="1196" spans="1:5" ht="17.100000000000001" hidden="1" customHeight="1">
      <c r="A1196" s="812"/>
      <c r="B1196" s="1642"/>
      <c r="C1196" s="1695" t="s">
        <v>815</v>
      </c>
      <c r="D1196" s="1695"/>
      <c r="E1196" s="828"/>
    </row>
    <row r="1197" spans="1:5" ht="36.75" hidden="1" customHeight="1">
      <c r="A1197" s="812"/>
      <c r="B1197" s="1642"/>
      <c r="C1197" s="1029" t="s">
        <v>435</v>
      </c>
      <c r="D1197" s="1030" t="s">
        <v>840</v>
      </c>
      <c r="E1197" s="828"/>
    </row>
    <row r="1198" spans="1:5" ht="17.100000000000001" hidden="1" customHeight="1">
      <c r="A1198" s="812"/>
      <c r="B1198" s="1642"/>
      <c r="C1198" s="1103"/>
      <c r="D1198" s="1104" t="s">
        <v>974</v>
      </c>
      <c r="E1198" s="887"/>
    </row>
    <row r="1199" spans="1:5" ht="17.100000000000001" hidden="1" customHeight="1">
      <c r="A1199" s="812"/>
      <c r="B1199" s="1642"/>
      <c r="C1199" s="1707" t="s">
        <v>753</v>
      </c>
      <c r="D1199" s="1707"/>
      <c r="E1199" s="832"/>
    </row>
    <row r="1200" spans="1:5" ht="17.100000000000001" hidden="1" customHeight="1">
      <c r="A1200" s="812"/>
      <c r="B1200" s="1642"/>
      <c r="C1200" s="1695" t="s">
        <v>815</v>
      </c>
      <c r="D1200" s="1695"/>
      <c r="E1200" s="828"/>
    </row>
    <row r="1201" spans="1:5" ht="0.75" hidden="1" customHeight="1">
      <c r="A1201" s="812"/>
      <c r="B1201" s="1642"/>
      <c r="C1201" s="1029" t="s">
        <v>435</v>
      </c>
      <c r="D1201" s="1030" t="s">
        <v>840</v>
      </c>
      <c r="E1201" s="828"/>
    </row>
    <row r="1202" spans="1:5" ht="17.25" customHeight="1">
      <c r="A1202" s="812"/>
      <c r="B1202" s="1642"/>
      <c r="C1202" s="1029" t="s">
        <v>882</v>
      </c>
      <c r="D1202" s="1030" t="s">
        <v>788</v>
      </c>
      <c r="E1202" s="828">
        <v>1500</v>
      </c>
    </row>
    <row r="1203" spans="1:5" ht="17.25" customHeight="1">
      <c r="A1203" s="812"/>
      <c r="B1203" s="1642"/>
      <c r="C1203" s="838"/>
      <c r="D1203" s="838"/>
      <c r="E1203" s="825"/>
    </row>
    <row r="1204" spans="1:5" ht="17.25" customHeight="1">
      <c r="A1204" s="812"/>
      <c r="B1204" s="1642"/>
      <c r="C1204" s="1702" t="s">
        <v>804</v>
      </c>
      <c r="D1204" s="1702"/>
      <c r="E1204" s="832">
        <f t="shared" ref="E1204" si="145">E1205</f>
        <v>79000</v>
      </c>
    </row>
    <row r="1205" spans="1:5" ht="17.25" customHeight="1">
      <c r="A1205" s="812"/>
      <c r="B1205" s="1642"/>
      <c r="C1205" s="1697" t="s">
        <v>805</v>
      </c>
      <c r="D1205" s="1697"/>
      <c r="E1205" s="828">
        <f t="shared" ref="E1205" si="146">SUM(E1206)</f>
        <v>79000</v>
      </c>
    </row>
    <row r="1206" spans="1:5" ht="17.25" customHeight="1" thickBot="1">
      <c r="A1206" s="812"/>
      <c r="B1206" s="1642"/>
      <c r="C1206" s="1096" t="s">
        <v>401</v>
      </c>
      <c r="D1206" s="1097" t="s">
        <v>819</v>
      </c>
      <c r="E1206" s="1031">
        <v>79000</v>
      </c>
    </row>
    <row r="1207" spans="1:5" ht="17.100000000000001" customHeight="1" thickBot="1">
      <c r="A1207" s="812"/>
      <c r="B1207" s="858" t="s">
        <v>524</v>
      </c>
      <c r="C1207" s="859"/>
      <c r="D1207" s="860" t="s">
        <v>213</v>
      </c>
      <c r="E1207" s="861">
        <f>E1208+E1235</f>
        <v>20756470</v>
      </c>
    </row>
    <row r="1208" spans="1:5" ht="17.100000000000001" customHeight="1">
      <c r="A1208" s="812"/>
      <c r="B1208" s="862"/>
      <c r="C1208" s="1583" t="s">
        <v>753</v>
      </c>
      <c r="D1208" s="1583"/>
      <c r="E1208" s="817">
        <f>E1209+E1213</f>
        <v>19875070</v>
      </c>
    </row>
    <row r="1209" spans="1:5" ht="17.100000000000001" customHeight="1">
      <c r="A1209" s="812"/>
      <c r="B1209" s="862"/>
      <c r="C1209" s="1695" t="s">
        <v>815</v>
      </c>
      <c r="D1209" s="1695"/>
      <c r="E1209" s="828">
        <f>SUM(E1210:E1211)</f>
        <v>19008054</v>
      </c>
    </row>
    <row r="1210" spans="1:5" ht="59.25" customHeight="1">
      <c r="A1210" s="812"/>
      <c r="B1210" s="862"/>
      <c r="C1210" s="1029" t="s">
        <v>435</v>
      </c>
      <c r="D1210" s="1030" t="s">
        <v>835</v>
      </c>
      <c r="E1210" s="828">
        <v>13706437</v>
      </c>
    </row>
    <row r="1211" spans="1:5" ht="59.25" customHeight="1">
      <c r="A1211" s="812"/>
      <c r="B1211" s="862"/>
      <c r="C1211" s="1029" t="s">
        <v>437</v>
      </c>
      <c r="D1211" s="883" t="s">
        <v>836</v>
      </c>
      <c r="E1211" s="828">
        <v>5301617</v>
      </c>
    </row>
    <row r="1212" spans="1:5">
      <c r="A1212" s="812"/>
      <c r="B1212" s="862"/>
      <c r="C1212" s="1105"/>
      <c r="D1212" s="1106"/>
      <c r="E1212" s="1107"/>
    </row>
    <row r="1213" spans="1:5" ht="15.75" customHeight="1">
      <c r="A1213" s="812"/>
      <c r="B1213" s="862"/>
      <c r="C1213" s="1695" t="s">
        <v>813</v>
      </c>
      <c r="D1213" s="1695"/>
      <c r="E1213" s="828">
        <f>SUM(E1214:E1233)</f>
        <v>867016</v>
      </c>
    </row>
    <row r="1214" spans="1:5" ht="15.75" customHeight="1">
      <c r="A1214" s="812"/>
      <c r="B1214" s="862"/>
      <c r="C1214" s="1108" t="s">
        <v>356</v>
      </c>
      <c r="D1214" s="1030" t="s">
        <v>885</v>
      </c>
      <c r="E1214" s="828">
        <v>6459</v>
      </c>
    </row>
    <row r="1215" spans="1:5" ht="15.75" customHeight="1">
      <c r="A1215" s="812"/>
      <c r="B1215" s="862"/>
      <c r="C1215" s="1108" t="s">
        <v>357</v>
      </c>
      <c r="D1215" s="1030" t="s">
        <v>885</v>
      </c>
      <c r="E1215" s="828">
        <v>1140</v>
      </c>
    </row>
    <row r="1216" spans="1:5" ht="15.75" customHeight="1">
      <c r="A1216" s="812"/>
      <c r="B1216" s="862"/>
      <c r="C1216" s="1029" t="s">
        <v>391</v>
      </c>
      <c r="D1216" s="1030" t="s">
        <v>756</v>
      </c>
      <c r="E1216" s="828">
        <v>178454</v>
      </c>
    </row>
    <row r="1217" spans="1:5" ht="15.75" customHeight="1">
      <c r="A1217" s="812"/>
      <c r="B1217" s="862"/>
      <c r="C1217" s="1029" t="s">
        <v>362</v>
      </c>
      <c r="D1217" s="1030" t="s">
        <v>756</v>
      </c>
      <c r="E1217" s="828">
        <v>79339</v>
      </c>
    </row>
    <row r="1218" spans="1:5" ht="15.75" customHeight="1">
      <c r="A1218" s="812"/>
      <c r="B1218" s="862"/>
      <c r="C1218" s="1029" t="s">
        <v>363</v>
      </c>
      <c r="D1218" s="1030" t="s">
        <v>756</v>
      </c>
      <c r="E1218" s="828">
        <v>99761</v>
      </c>
    </row>
    <row r="1219" spans="1:5" ht="15.75" customHeight="1">
      <c r="A1219" s="812"/>
      <c r="B1219" s="862"/>
      <c r="C1219" s="1029" t="s">
        <v>530</v>
      </c>
      <c r="D1219" s="1030" t="s">
        <v>758</v>
      </c>
      <c r="E1219" s="828">
        <v>12526</v>
      </c>
    </row>
    <row r="1220" spans="1:5" ht="15.75" customHeight="1">
      <c r="A1220" s="812"/>
      <c r="B1220" s="862"/>
      <c r="C1220" s="1029" t="s">
        <v>392</v>
      </c>
      <c r="D1220" s="1030" t="s">
        <v>760</v>
      </c>
      <c r="E1220" s="828">
        <v>32333</v>
      </c>
    </row>
    <row r="1221" spans="1:5" ht="15.75" customHeight="1">
      <c r="A1221" s="812"/>
      <c r="B1221" s="862"/>
      <c r="C1221" s="1029" t="s">
        <v>336</v>
      </c>
      <c r="D1221" s="1030" t="s">
        <v>760</v>
      </c>
      <c r="E1221" s="828">
        <v>13433</v>
      </c>
    </row>
    <row r="1222" spans="1:5" ht="15.75" customHeight="1">
      <c r="A1222" s="812"/>
      <c r="B1222" s="862"/>
      <c r="C1222" s="1029" t="s">
        <v>337</v>
      </c>
      <c r="D1222" s="1030" t="s">
        <v>760</v>
      </c>
      <c r="E1222" s="828">
        <v>16889</v>
      </c>
    </row>
    <row r="1223" spans="1:5" ht="15.75" customHeight="1">
      <c r="A1223" s="812"/>
      <c r="B1223" s="862"/>
      <c r="C1223" s="1029" t="s">
        <v>393</v>
      </c>
      <c r="D1223" s="1030" t="s">
        <v>762</v>
      </c>
      <c r="E1223" s="828">
        <v>4679</v>
      </c>
    </row>
    <row r="1224" spans="1:5" ht="15.75" customHeight="1">
      <c r="A1224" s="812"/>
      <c r="B1224" s="862"/>
      <c r="C1224" s="1029" t="s">
        <v>366</v>
      </c>
      <c r="D1224" s="1030" t="s">
        <v>762</v>
      </c>
      <c r="E1224" s="828">
        <v>1943</v>
      </c>
    </row>
    <row r="1225" spans="1:5" ht="15.75" customHeight="1">
      <c r="A1225" s="812"/>
      <c r="B1225" s="862"/>
      <c r="C1225" s="1029" t="s">
        <v>367</v>
      </c>
      <c r="D1225" s="1030" t="s">
        <v>762</v>
      </c>
      <c r="E1225" s="828">
        <v>2444</v>
      </c>
    </row>
    <row r="1226" spans="1:5" ht="15.75" customHeight="1">
      <c r="A1226" s="812"/>
      <c r="B1226" s="862"/>
      <c r="C1226" s="1029" t="s">
        <v>394</v>
      </c>
      <c r="D1226" s="1030" t="s">
        <v>778</v>
      </c>
      <c r="E1226" s="828">
        <v>398962</v>
      </c>
    </row>
    <row r="1227" spans="1:5" ht="15.75" customHeight="1">
      <c r="A1227" s="812"/>
      <c r="B1227" s="862"/>
      <c r="C1227" s="1029" t="s">
        <v>344</v>
      </c>
      <c r="D1227" s="1030" t="s">
        <v>778</v>
      </c>
      <c r="E1227" s="828">
        <v>5620</v>
      </c>
    </row>
    <row r="1228" spans="1:5" ht="15.75" customHeight="1">
      <c r="A1228" s="812"/>
      <c r="B1228" s="862"/>
      <c r="C1228" s="1096" t="s">
        <v>358</v>
      </c>
      <c r="D1228" s="1097" t="s">
        <v>878</v>
      </c>
      <c r="E1228" s="828">
        <v>2955</v>
      </c>
    </row>
    <row r="1229" spans="1:5" ht="15.75" customHeight="1">
      <c r="A1229" s="812"/>
      <c r="B1229" s="862"/>
      <c r="C1229" s="1096" t="s">
        <v>359</v>
      </c>
      <c r="D1229" s="1109" t="s">
        <v>878</v>
      </c>
      <c r="E1229" s="828">
        <v>521</v>
      </c>
    </row>
    <row r="1230" spans="1:5" ht="15.75" customHeight="1">
      <c r="A1230" s="812"/>
      <c r="B1230" s="862"/>
      <c r="C1230" s="1029" t="s">
        <v>345</v>
      </c>
      <c r="D1230" s="850" t="s">
        <v>786</v>
      </c>
      <c r="E1230" s="1047">
        <v>850</v>
      </c>
    </row>
    <row r="1231" spans="1:5" ht="15.75" customHeight="1">
      <c r="A1231" s="812"/>
      <c r="B1231" s="862"/>
      <c r="C1231" s="1029" t="s">
        <v>346</v>
      </c>
      <c r="D1231" s="850" t="s">
        <v>786</v>
      </c>
      <c r="E1231" s="1110">
        <v>150</v>
      </c>
    </row>
    <row r="1232" spans="1:5" ht="15.75" customHeight="1">
      <c r="A1232" s="812"/>
      <c r="B1232" s="862"/>
      <c r="C1232" s="1029" t="s">
        <v>376</v>
      </c>
      <c r="D1232" s="850" t="s">
        <v>854</v>
      </c>
      <c r="E1232" s="1047">
        <v>7274</v>
      </c>
    </row>
    <row r="1233" spans="1:5" ht="15.75" customHeight="1">
      <c r="A1233" s="812"/>
      <c r="B1233" s="862"/>
      <c r="C1233" s="1029" t="s">
        <v>377</v>
      </c>
      <c r="D1233" s="850" t="s">
        <v>854</v>
      </c>
      <c r="E1233" s="1111">
        <v>1284</v>
      </c>
    </row>
    <row r="1234" spans="1:5" ht="17.100000000000001" customHeight="1">
      <c r="A1234" s="812"/>
      <c r="B1234" s="862"/>
      <c r="C1234" s="838"/>
      <c r="D1234" s="838"/>
      <c r="E1234" s="825"/>
    </row>
    <row r="1235" spans="1:5" ht="17.100000000000001" customHeight="1">
      <c r="A1235" s="812"/>
      <c r="B1235" s="862"/>
      <c r="C1235" s="1702" t="s">
        <v>804</v>
      </c>
      <c r="D1235" s="1702"/>
      <c r="E1235" s="832">
        <f>E1236</f>
        <v>881400</v>
      </c>
    </row>
    <row r="1236" spans="1:5" ht="17.100000000000001" customHeight="1">
      <c r="A1236" s="812"/>
      <c r="B1236" s="862"/>
      <c r="C1236" s="1703" t="s">
        <v>857</v>
      </c>
      <c r="D1236" s="1703"/>
      <c r="E1236" s="1031">
        <f t="shared" ref="E1236" si="147">SUM(E1237:E1239)</f>
        <v>881400</v>
      </c>
    </row>
    <row r="1237" spans="1:5" ht="38.25">
      <c r="A1237" s="812"/>
      <c r="B1237" s="862"/>
      <c r="C1237" s="1112" t="s">
        <v>329</v>
      </c>
      <c r="D1237" s="1030" t="s">
        <v>840</v>
      </c>
      <c r="E1237" s="1047">
        <v>731967</v>
      </c>
    </row>
    <row r="1238" spans="1:5" ht="51">
      <c r="A1238" s="812"/>
      <c r="B1238" s="862"/>
      <c r="C1238" s="1096" t="s">
        <v>326</v>
      </c>
      <c r="D1238" s="1113" t="s">
        <v>838</v>
      </c>
      <c r="E1238" s="1110">
        <v>149433</v>
      </c>
    </row>
    <row r="1239" spans="1:5" ht="17.100000000000001" customHeight="1" thickBot="1">
      <c r="A1239" s="812"/>
      <c r="B1239" s="862"/>
      <c r="C1239" s="965" t="s">
        <v>975</v>
      </c>
      <c r="D1239" s="966" t="s">
        <v>976</v>
      </c>
      <c r="E1239" s="835"/>
    </row>
    <row r="1240" spans="1:5" ht="17.100000000000001" customHeight="1" thickBot="1">
      <c r="A1240" s="807" t="s">
        <v>133</v>
      </c>
      <c r="B1240" s="808"/>
      <c r="C1240" s="809"/>
      <c r="D1240" s="810" t="s">
        <v>977</v>
      </c>
      <c r="E1240" s="811">
        <f>E1241+E1247+E1330</f>
        <v>41834339</v>
      </c>
    </row>
    <row r="1241" spans="1:5" ht="17.100000000000001" customHeight="1" thickBot="1">
      <c r="A1241" s="812"/>
      <c r="B1241" s="858" t="s">
        <v>134</v>
      </c>
      <c r="C1241" s="859"/>
      <c r="D1241" s="1007" t="s">
        <v>978</v>
      </c>
      <c r="E1241" s="1008">
        <f t="shared" ref="E1241:E1242" si="148">E1242</f>
        <v>2158174</v>
      </c>
    </row>
    <row r="1242" spans="1:5" ht="17.100000000000001" customHeight="1">
      <c r="A1242" s="812"/>
      <c r="B1242" s="1587"/>
      <c r="C1242" s="1583" t="s">
        <v>753</v>
      </c>
      <c r="D1242" s="1661"/>
      <c r="E1242" s="992">
        <f t="shared" si="148"/>
        <v>2158174</v>
      </c>
    </row>
    <row r="1243" spans="1:5" ht="17.100000000000001" customHeight="1">
      <c r="A1243" s="812"/>
      <c r="B1243" s="1587"/>
      <c r="C1243" s="1695" t="s">
        <v>815</v>
      </c>
      <c r="D1243" s="1716"/>
      <c r="E1243" s="993">
        <f t="shared" ref="E1243" si="149">SUM(E1244:E1246)</f>
        <v>2158174</v>
      </c>
    </row>
    <row r="1244" spans="1:5" ht="46.5" customHeight="1">
      <c r="A1244" s="812"/>
      <c r="B1244" s="1587"/>
      <c r="C1244" s="1029" t="s">
        <v>827</v>
      </c>
      <c r="D1244" s="1114" t="s">
        <v>828</v>
      </c>
      <c r="E1244" s="993">
        <v>1127991</v>
      </c>
    </row>
    <row r="1245" spans="1:5" ht="30" customHeight="1">
      <c r="A1245" s="812"/>
      <c r="B1245" s="820"/>
      <c r="C1245" s="1029" t="s">
        <v>979</v>
      </c>
      <c r="D1245" s="1114" t="s">
        <v>980</v>
      </c>
      <c r="E1245" s="993">
        <v>82223</v>
      </c>
    </row>
    <row r="1246" spans="1:5" ht="32.25" customHeight="1" thickBot="1">
      <c r="A1246" s="812"/>
      <c r="B1246" s="820"/>
      <c r="C1246" s="1096" t="s">
        <v>981</v>
      </c>
      <c r="D1246" s="1115" t="s">
        <v>982</v>
      </c>
      <c r="E1246" s="1116">
        <v>947960</v>
      </c>
    </row>
    <row r="1247" spans="1:5" ht="17.100000000000001" customHeight="1" thickBot="1">
      <c r="A1247" s="812"/>
      <c r="B1247" s="858" t="s">
        <v>243</v>
      </c>
      <c r="C1247" s="859"/>
      <c r="D1247" s="860" t="s">
        <v>244</v>
      </c>
      <c r="E1247" s="861">
        <f>E1248+E1320</f>
        <v>30733721</v>
      </c>
    </row>
    <row r="1248" spans="1:5" ht="17.100000000000001" customHeight="1">
      <c r="A1248" s="812"/>
      <c r="B1248" s="820"/>
      <c r="C1248" s="1583" t="s">
        <v>753</v>
      </c>
      <c r="D1248" s="1583"/>
      <c r="E1248" s="974">
        <f t="shared" ref="E1248" si="150">E1249+E1278+E1282</f>
        <v>30511721</v>
      </c>
    </row>
    <row r="1249" spans="1:5" ht="17.100000000000001" customHeight="1">
      <c r="A1249" s="812"/>
      <c r="B1249" s="820"/>
      <c r="C1249" s="1711" t="s">
        <v>754</v>
      </c>
      <c r="D1249" s="1711"/>
      <c r="E1249" s="1028">
        <f t="shared" ref="E1249" si="151">E1250+E1257</f>
        <v>10251631</v>
      </c>
    </row>
    <row r="1250" spans="1:5" ht="17.100000000000001" customHeight="1">
      <c r="A1250" s="812"/>
      <c r="B1250" s="820"/>
      <c r="C1250" s="1712" t="s">
        <v>755</v>
      </c>
      <c r="D1250" s="1712"/>
      <c r="E1250" s="975">
        <f t="shared" ref="E1250" si="152">SUM(E1251:E1255)</f>
        <v>8261703</v>
      </c>
    </row>
    <row r="1251" spans="1:5" ht="17.100000000000001" customHeight="1">
      <c r="A1251" s="812"/>
      <c r="B1251" s="820"/>
      <c r="C1251" s="849" t="s">
        <v>538</v>
      </c>
      <c r="D1251" s="850" t="s">
        <v>756</v>
      </c>
      <c r="E1251" s="1117">
        <v>6510431</v>
      </c>
    </row>
    <row r="1252" spans="1:5" ht="17.100000000000001" customHeight="1">
      <c r="A1252" s="812"/>
      <c r="B1252" s="820"/>
      <c r="C1252" s="1029" t="s">
        <v>757</v>
      </c>
      <c r="D1252" s="1030" t="s">
        <v>758</v>
      </c>
      <c r="E1252" s="1117">
        <v>430073</v>
      </c>
    </row>
    <row r="1253" spans="1:5" ht="17.100000000000001" customHeight="1">
      <c r="A1253" s="812"/>
      <c r="B1253" s="820"/>
      <c r="C1253" s="1029" t="s">
        <v>759</v>
      </c>
      <c r="D1253" s="1030" t="s">
        <v>760</v>
      </c>
      <c r="E1253" s="1117">
        <v>1145858</v>
      </c>
    </row>
    <row r="1254" spans="1:5" ht="17.100000000000001" customHeight="1">
      <c r="A1254" s="812"/>
      <c r="B1254" s="820"/>
      <c r="C1254" s="1029" t="s">
        <v>761</v>
      </c>
      <c r="D1254" s="1030" t="s">
        <v>762</v>
      </c>
      <c r="E1254" s="1117">
        <v>164101</v>
      </c>
    </row>
    <row r="1255" spans="1:5" ht="17.100000000000001" customHeight="1">
      <c r="A1255" s="812"/>
      <c r="B1255" s="820"/>
      <c r="C1255" s="1029" t="s">
        <v>763</v>
      </c>
      <c r="D1255" s="1030" t="s">
        <v>764</v>
      </c>
      <c r="E1255" s="1117">
        <v>11240</v>
      </c>
    </row>
    <row r="1256" spans="1:5" ht="17.100000000000001" customHeight="1">
      <c r="A1256" s="812"/>
      <c r="B1256" s="820"/>
      <c r="C1256" s="838"/>
      <c r="D1256" s="838"/>
      <c r="E1256" s="825"/>
    </row>
    <row r="1257" spans="1:5" ht="17.100000000000001" customHeight="1">
      <c r="A1257" s="812"/>
      <c r="B1257" s="820"/>
      <c r="C1257" s="1713" t="s">
        <v>765</v>
      </c>
      <c r="D1257" s="1713"/>
      <c r="E1257" s="975">
        <f t="shared" ref="E1257" si="153">SUM(E1258:E1276)</f>
        <v>1989928</v>
      </c>
    </row>
    <row r="1258" spans="1:5" ht="17.100000000000001" customHeight="1">
      <c r="A1258" s="812"/>
      <c r="B1258" s="820"/>
      <c r="C1258" s="1029" t="s">
        <v>766</v>
      </c>
      <c r="D1258" s="1030" t="s">
        <v>767</v>
      </c>
      <c r="E1258" s="948">
        <v>6000</v>
      </c>
    </row>
    <row r="1259" spans="1:5" ht="17.100000000000001" customHeight="1">
      <c r="A1259" s="812"/>
      <c r="B1259" s="820"/>
      <c r="C1259" s="1029" t="s">
        <v>768</v>
      </c>
      <c r="D1259" s="1030" t="s">
        <v>769</v>
      </c>
      <c r="E1259" s="948">
        <v>215300</v>
      </c>
    </row>
    <row r="1260" spans="1:5" ht="17.100000000000001" customHeight="1">
      <c r="A1260" s="812"/>
      <c r="B1260" s="820"/>
      <c r="C1260" s="1029" t="s">
        <v>770</v>
      </c>
      <c r="D1260" s="1030" t="s">
        <v>771</v>
      </c>
      <c r="E1260" s="948">
        <v>6000</v>
      </c>
    </row>
    <row r="1261" spans="1:5" ht="17.100000000000001" customHeight="1">
      <c r="A1261" s="812"/>
      <c r="B1261" s="820"/>
      <c r="C1261" s="1029" t="s">
        <v>772</v>
      </c>
      <c r="D1261" s="1030" t="s">
        <v>773</v>
      </c>
      <c r="E1261" s="948">
        <v>221700</v>
      </c>
    </row>
    <row r="1262" spans="1:5" ht="17.100000000000001" customHeight="1">
      <c r="A1262" s="812"/>
      <c r="B1262" s="820"/>
      <c r="C1262" s="1029" t="s">
        <v>774</v>
      </c>
      <c r="D1262" s="1030" t="s">
        <v>775</v>
      </c>
      <c r="E1262" s="948">
        <v>78580</v>
      </c>
    </row>
    <row r="1263" spans="1:5" ht="17.100000000000001" customHeight="1">
      <c r="A1263" s="812"/>
      <c r="B1263" s="820"/>
      <c r="C1263" s="1029" t="s">
        <v>776</v>
      </c>
      <c r="D1263" s="1030" t="s">
        <v>777</v>
      </c>
      <c r="E1263" s="948">
        <v>6965</v>
      </c>
    </row>
    <row r="1264" spans="1:5" ht="17.100000000000001" customHeight="1">
      <c r="A1264" s="812"/>
      <c r="B1264" s="820"/>
      <c r="C1264" s="1029" t="s">
        <v>517</v>
      </c>
      <c r="D1264" s="1030" t="s">
        <v>778</v>
      </c>
      <c r="E1264" s="948">
        <v>614320</v>
      </c>
    </row>
    <row r="1265" spans="1:5" ht="16.5" customHeight="1">
      <c r="A1265" s="812"/>
      <c r="B1265" s="820"/>
      <c r="C1265" s="1029" t="s">
        <v>779</v>
      </c>
      <c r="D1265" s="1030" t="s">
        <v>780</v>
      </c>
      <c r="E1265" s="948">
        <v>31314</v>
      </c>
    </row>
    <row r="1266" spans="1:5" ht="16.5" customHeight="1">
      <c r="A1266" s="812"/>
      <c r="B1266" s="820"/>
      <c r="C1266" s="1029" t="s">
        <v>884</v>
      </c>
      <c r="D1266" s="1030" t="s">
        <v>878</v>
      </c>
      <c r="E1266" s="948">
        <v>1500</v>
      </c>
    </row>
    <row r="1267" spans="1:5" ht="16.5" customHeight="1">
      <c r="A1267" s="812"/>
      <c r="B1267" s="820"/>
      <c r="C1267" s="1029" t="s">
        <v>781</v>
      </c>
      <c r="D1267" s="1030" t="s">
        <v>782</v>
      </c>
      <c r="E1267" s="948">
        <v>11700</v>
      </c>
    </row>
    <row r="1268" spans="1:5" ht="17.100000000000001" customHeight="1">
      <c r="A1268" s="812"/>
      <c r="B1268" s="820"/>
      <c r="C1268" s="1096" t="s">
        <v>783</v>
      </c>
      <c r="D1268" s="1097" t="s">
        <v>784</v>
      </c>
      <c r="E1268" s="948">
        <v>154600</v>
      </c>
    </row>
    <row r="1269" spans="1:5" ht="17.100000000000001" customHeight="1">
      <c r="A1269" s="812"/>
      <c r="B1269" s="820"/>
      <c r="C1269" s="931" t="s">
        <v>785</v>
      </c>
      <c r="D1269" s="1050" t="s">
        <v>786</v>
      </c>
      <c r="E1269" s="948">
        <v>43500</v>
      </c>
    </row>
    <row r="1270" spans="1:5" ht="17.100000000000001" customHeight="1">
      <c r="A1270" s="812"/>
      <c r="B1270" s="820"/>
      <c r="C1270" s="849" t="s">
        <v>853</v>
      </c>
      <c r="D1270" s="850" t="s">
        <v>854</v>
      </c>
      <c r="E1270" s="948">
        <v>2000</v>
      </c>
    </row>
    <row r="1271" spans="1:5" ht="17.100000000000001" customHeight="1">
      <c r="A1271" s="812"/>
      <c r="B1271" s="820"/>
      <c r="C1271" s="1029" t="s">
        <v>787</v>
      </c>
      <c r="D1271" s="1030" t="s">
        <v>788</v>
      </c>
      <c r="E1271" s="948">
        <v>18100</v>
      </c>
    </row>
    <row r="1272" spans="1:5" ht="17.100000000000001" customHeight="1">
      <c r="A1272" s="812"/>
      <c r="B1272" s="820"/>
      <c r="C1272" s="1029" t="s">
        <v>789</v>
      </c>
      <c r="D1272" s="1030" t="s">
        <v>790</v>
      </c>
      <c r="E1272" s="948">
        <v>410193</v>
      </c>
    </row>
    <row r="1273" spans="1:5" ht="17.100000000000001" customHeight="1">
      <c r="A1273" s="812"/>
      <c r="B1273" s="820"/>
      <c r="C1273" s="1029" t="s">
        <v>791</v>
      </c>
      <c r="D1273" s="1030" t="s">
        <v>792</v>
      </c>
      <c r="E1273" s="948">
        <v>25750</v>
      </c>
    </row>
    <row r="1274" spans="1:5" ht="17.100000000000001" customHeight="1">
      <c r="A1274" s="812"/>
      <c r="B1274" s="820"/>
      <c r="C1274" s="1029" t="s">
        <v>795</v>
      </c>
      <c r="D1274" s="1030" t="s">
        <v>796</v>
      </c>
      <c r="E1274" s="948">
        <v>97000</v>
      </c>
    </row>
    <row r="1275" spans="1:5" ht="17.100000000000001" customHeight="1">
      <c r="A1275" s="812"/>
      <c r="B1275" s="820"/>
      <c r="C1275" s="1029" t="s">
        <v>825</v>
      </c>
      <c r="D1275" s="1030" t="s">
        <v>826</v>
      </c>
      <c r="E1275" s="948">
        <v>6000</v>
      </c>
    </row>
    <row r="1276" spans="1:5" ht="17.100000000000001" customHeight="1">
      <c r="A1276" s="812"/>
      <c r="B1276" s="820"/>
      <c r="C1276" s="1029" t="s">
        <v>799</v>
      </c>
      <c r="D1276" s="1030" t="s">
        <v>800</v>
      </c>
      <c r="E1276" s="948">
        <v>39406</v>
      </c>
    </row>
    <row r="1277" spans="1:5" ht="17.100000000000001" customHeight="1">
      <c r="A1277" s="812"/>
      <c r="B1277" s="820"/>
      <c r="C1277" s="1118"/>
      <c r="D1277" s="1118"/>
      <c r="E1277" s="1119"/>
    </row>
    <row r="1278" spans="1:5" ht="17.100000000000001" customHeight="1">
      <c r="A1278" s="812"/>
      <c r="B1278" s="820"/>
      <c r="C1278" s="1714" t="s">
        <v>801</v>
      </c>
      <c r="D1278" s="1714"/>
      <c r="E1278" s="948">
        <f t="shared" ref="E1278" si="154">E1279+E1280</f>
        <v>15760</v>
      </c>
    </row>
    <row r="1279" spans="1:5" ht="17.100000000000001" customHeight="1">
      <c r="A1279" s="812"/>
      <c r="B1279" s="820"/>
      <c r="C1279" s="1096" t="s">
        <v>802</v>
      </c>
      <c r="D1279" s="1097" t="s">
        <v>803</v>
      </c>
      <c r="E1279" s="1028">
        <v>15500</v>
      </c>
    </row>
    <row r="1280" spans="1:5" ht="17.100000000000001" customHeight="1">
      <c r="A1280" s="812"/>
      <c r="B1280" s="820"/>
      <c r="C1280" s="1061" t="s">
        <v>882</v>
      </c>
      <c r="D1280" s="958" t="s">
        <v>885</v>
      </c>
      <c r="E1280" s="948">
        <v>260</v>
      </c>
    </row>
    <row r="1281" spans="1:5" ht="17.100000000000001" customHeight="1">
      <c r="A1281" s="812"/>
      <c r="B1281" s="820"/>
      <c r="C1281" s="1118"/>
      <c r="D1281" s="1118"/>
      <c r="E1281" s="1119"/>
    </row>
    <row r="1282" spans="1:5" ht="17.100000000000001" customHeight="1">
      <c r="A1282" s="812"/>
      <c r="B1282" s="820"/>
      <c r="C1282" s="1715" t="s">
        <v>813</v>
      </c>
      <c r="D1282" s="1715"/>
      <c r="E1282" s="948">
        <f>SUM(E1283:E1318)</f>
        <v>20244330</v>
      </c>
    </row>
    <row r="1283" spans="1:5" ht="16.5" customHeight="1">
      <c r="A1283" s="812"/>
      <c r="B1283" s="820"/>
      <c r="C1283" s="1029" t="s">
        <v>370</v>
      </c>
      <c r="D1283" s="1097" t="s">
        <v>803</v>
      </c>
      <c r="E1283" s="948">
        <f>8925+4214</f>
        <v>13139</v>
      </c>
    </row>
    <row r="1284" spans="1:5" ht="16.5" customHeight="1">
      <c r="A1284" s="812"/>
      <c r="B1284" s="820"/>
      <c r="C1284" s="1029" t="s">
        <v>371</v>
      </c>
      <c r="D1284" s="1097" t="s">
        <v>803</v>
      </c>
      <c r="E1284" s="948">
        <f>1575+786</f>
        <v>2361</v>
      </c>
    </row>
    <row r="1285" spans="1:5" ht="17.100000000000001" customHeight="1">
      <c r="A1285" s="812"/>
      <c r="B1285" s="820"/>
      <c r="C1285" s="1061" t="s">
        <v>362</v>
      </c>
      <c r="D1285" s="1089" t="s">
        <v>756</v>
      </c>
      <c r="E1285" s="948">
        <f>9328838+2694517</f>
        <v>12023355</v>
      </c>
    </row>
    <row r="1286" spans="1:5" ht="17.100000000000001" customHeight="1">
      <c r="A1286" s="812"/>
      <c r="B1286" s="820"/>
      <c r="C1286" s="849" t="s">
        <v>363</v>
      </c>
      <c r="D1286" s="1030" t="s">
        <v>756</v>
      </c>
      <c r="E1286" s="948">
        <f>1646266+502585</f>
        <v>2148851</v>
      </c>
    </row>
    <row r="1287" spans="1:5" ht="17.100000000000001" customHeight="1">
      <c r="A1287" s="812"/>
      <c r="B1287" s="820"/>
      <c r="C1287" s="1029" t="s">
        <v>364</v>
      </c>
      <c r="D1287" s="1030" t="s">
        <v>758</v>
      </c>
      <c r="E1287" s="948">
        <f>623498+171594</f>
        <v>795092</v>
      </c>
    </row>
    <row r="1288" spans="1:5" ht="17.100000000000001" customHeight="1">
      <c r="A1288" s="812"/>
      <c r="B1288" s="820"/>
      <c r="C1288" s="1029" t="s">
        <v>365</v>
      </c>
      <c r="D1288" s="1030" t="s">
        <v>758</v>
      </c>
      <c r="E1288" s="948">
        <f>110029+32006</f>
        <v>142035</v>
      </c>
    </row>
    <row r="1289" spans="1:5" ht="17.100000000000001" customHeight="1">
      <c r="A1289" s="812"/>
      <c r="B1289" s="820"/>
      <c r="C1289" s="1029" t="s">
        <v>336</v>
      </c>
      <c r="D1289" s="1030" t="s">
        <v>760</v>
      </c>
      <c r="E1289" s="948">
        <f>1701850+490276</f>
        <v>2192126</v>
      </c>
    </row>
    <row r="1290" spans="1:5" ht="17.100000000000001" customHeight="1">
      <c r="A1290" s="812"/>
      <c r="B1290" s="820"/>
      <c r="C1290" s="1029" t="s">
        <v>337</v>
      </c>
      <c r="D1290" s="1030" t="s">
        <v>760</v>
      </c>
      <c r="E1290" s="948">
        <f>300326+91447</f>
        <v>391773</v>
      </c>
    </row>
    <row r="1291" spans="1:5" ht="17.100000000000001" customHeight="1">
      <c r="A1291" s="812"/>
      <c r="B1291" s="820"/>
      <c r="C1291" s="1029" t="s">
        <v>366</v>
      </c>
      <c r="D1291" s="1030" t="s">
        <v>762</v>
      </c>
      <c r="E1291" s="948">
        <f>243831+70225</f>
        <v>314056</v>
      </c>
    </row>
    <row r="1292" spans="1:5" ht="17.100000000000001" customHeight="1">
      <c r="A1292" s="812"/>
      <c r="B1292" s="820"/>
      <c r="C1292" s="1029" t="s">
        <v>367</v>
      </c>
      <c r="D1292" s="1030" t="s">
        <v>762</v>
      </c>
      <c r="E1292" s="948">
        <f>43029+13098</f>
        <v>56127</v>
      </c>
    </row>
    <row r="1293" spans="1:5" ht="17.100000000000001" customHeight="1">
      <c r="A1293" s="812"/>
      <c r="B1293" s="820"/>
      <c r="C1293" s="1029" t="s">
        <v>338</v>
      </c>
      <c r="D1293" s="1030" t="s">
        <v>764</v>
      </c>
      <c r="E1293" s="948">
        <f>72633+16856</f>
        <v>89489</v>
      </c>
    </row>
    <row r="1294" spans="1:5" ht="17.100000000000001" customHeight="1">
      <c r="A1294" s="812"/>
      <c r="B1294" s="820"/>
      <c r="C1294" s="1029" t="s">
        <v>339</v>
      </c>
      <c r="D1294" s="1030" t="s">
        <v>764</v>
      </c>
      <c r="E1294" s="948">
        <f>12817+3144</f>
        <v>15961</v>
      </c>
    </row>
    <row r="1295" spans="1:5" ht="17.100000000000001" customHeight="1">
      <c r="A1295" s="812"/>
      <c r="B1295" s="820"/>
      <c r="C1295" s="1029" t="s">
        <v>341</v>
      </c>
      <c r="D1295" s="1030" t="s">
        <v>769</v>
      </c>
      <c r="E1295" s="948">
        <f>228650+145214</f>
        <v>373864</v>
      </c>
    </row>
    <row r="1296" spans="1:5" ht="17.100000000000001" customHeight="1">
      <c r="A1296" s="812"/>
      <c r="B1296" s="820"/>
      <c r="C1296" s="1029" t="s">
        <v>342</v>
      </c>
      <c r="D1296" s="1030" t="s">
        <v>769</v>
      </c>
      <c r="E1296" s="948">
        <f>40350+27086</f>
        <v>67436</v>
      </c>
    </row>
    <row r="1297" spans="1:5" ht="17.100000000000001" customHeight="1">
      <c r="A1297" s="812"/>
      <c r="B1297" s="820"/>
      <c r="C1297" s="1029" t="s">
        <v>372</v>
      </c>
      <c r="D1297" s="1030" t="s">
        <v>773</v>
      </c>
      <c r="E1297" s="948">
        <f>127500+115959</f>
        <v>243459</v>
      </c>
    </row>
    <row r="1298" spans="1:5" ht="17.100000000000001" customHeight="1">
      <c r="A1298" s="812"/>
      <c r="B1298" s="820"/>
      <c r="C1298" s="1029" t="s">
        <v>373</v>
      </c>
      <c r="D1298" s="1030" t="s">
        <v>773</v>
      </c>
      <c r="E1298" s="948">
        <f>22500+21629</f>
        <v>44129</v>
      </c>
    </row>
    <row r="1299" spans="1:5" ht="17.100000000000001" customHeight="1">
      <c r="A1299" s="812"/>
      <c r="B1299" s="820"/>
      <c r="C1299" s="1096" t="s">
        <v>440</v>
      </c>
      <c r="D1299" s="1097" t="s">
        <v>775</v>
      </c>
      <c r="E1299" s="948">
        <f>45203+6995</f>
        <v>52198</v>
      </c>
    </row>
    <row r="1300" spans="1:5" ht="17.100000000000001" customHeight="1">
      <c r="A1300" s="812"/>
      <c r="B1300" s="820"/>
      <c r="C1300" s="1096" t="s">
        <v>441</v>
      </c>
      <c r="D1300" s="1097" t="s">
        <v>775</v>
      </c>
      <c r="E1300" s="948">
        <f>7977+1305</f>
        <v>9282</v>
      </c>
    </row>
    <row r="1301" spans="1:5" ht="17.100000000000001" customHeight="1">
      <c r="A1301" s="812"/>
      <c r="B1301" s="820"/>
      <c r="C1301" s="1035" t="s">
        <v>374</v>
      </c>
      <c r="D1301" s="1036" t="s">
        <v>777</v>
      </c>
      <c r="E1301" s="948">
        <f>6827+2220</f>
        <v>9047</v>
      </c>
    </row>
    <row r="1302" spans="1:5" ht="17.100000000000001" customHeight="1">
      <c r="A1302" s="812"/>
      <c r="B1302" s="820"/>
      <c r="C1302" s="931" t="s">
        <v>375</v>
      </c>
      <c r="D1302" s="1050" t="s">
        <v>777</v>
      </c>
      <c r="E1302" s="948">
        <f>1205+414</f>
        <v>1619</v>
      </c>
    </row>
    <row r="1303" spans="1:5" ht="17.100000000000001" customHeight="1">
      <c r="A1303" s="812"/>
      <c r="B1303" s="820"/>
      <c r="C1303" s="849" t="s">
        <v>343</v>
      </c>
      <c r="D1303" s="850" t="s">
        <v>778</v>
      </c>
      <c r="E1303" s="1117">
        <f>401650+134561</f>
        <v>536211</v>
      </c>
    </row>
    <row r="1304" spans="1:5" ht="17.100000000000001" customHeight="1">
      <c r="A1304" s="812"/>
      <c r="B1304" s="820"/>
      <c r="C1304" s="1029" t="s">
        <v>344</v>
      </c>
      <c r="D1304" s="1030" t="s">
        <v>778</v>
      </c>
      <c r="E1304" s="1117">
        <f>70880+25099</f>
        <v>95979</v>
      </c>
    </row>
    <row r="1305" spans="1:5" ht="16.5" customHeight="1">
      <c r="A1305" s="812"/>
      <c r="B1305" s="820"/>
      <c r="C1305" s="1029" t="s">
        <v>471</v>
      </c>
      <c r="D1305" s="1030" t="s">
        <v>780</v>
      </c>
      <c r="E1305" s="1117">
        <f>29750+9271</f>
        <v>39021</v>
      </c>
    </row>
    <row r="1306" spans="1:5" ht="16.5" customHeight="1">
      <c r="A1306" s="812"/>
      <c r="B1306" s="820"/>
      <c r="C1306" s="1029" t="s">
        <v>426</v>
      </c>
      <c r="D1306" s="1030" t="s">
        <v>780</v>
      </c>
      <c r="E1306" s="1117">
        <f>5250+1729</f>
        <v>6979</v>
      </c>
    </row>
    <row r="1307" spans="1:5" ht="16.5" customHeight="1">
      <c r="A1307" s="812"/>
      <c r="B1307" s="820"/>
      <c r="C1307" s="1029" t="s">
        <v>358</v>
      </c>
      <c r="D1307" s="1030" t="s">
        <v>983</v>
      </c>
      <c r="E1307" s="1117">
        <f>850+337</f>
        <v>1187</v>
      </c>
    </row>
    <row r="1308" spans="1:5" ht="16.5" customHeight="1">
      <c r="A1308" s="812"/>
      <c r="B1308" s="820"/>
      <c r="C1308" s="1029" t="s">
        <v>359</v>
      </c>
      <c r="D1308" s="1030" t="s">
        <v>983</v>
      </c>
      <c r="E1308" s="1117">
        <f>150+63</f>
        <v>213</v>
      </c>
    </row>
    <row r="1309" spans="1:5" ht="16.5" customHeight="1">
      <c r="A1309" s="812"/>
      <c r="B1309" s="820"/>
      <c r="C1309" s="1029" t="s">
        <v>472</v>
      </c>
      <c r="D1309" s="1030" t="s">
        <v>784</v>
      </c>
      <c r="E1309" s="1117">
        <f>8500+147490</f>
        <v>155990</v>
      </c>
    </row>
    <row r="1310" spans="1:5" ht="16.5" customHeight="1">
      <c r="A1310" s="812"/>
      <c r="B1310" s="820"/>
      <c r="C1310" s="1029" t="s">
        <v>475</v>
      </c>
      <c r="D1310" s="1030" t="s">
        <v>784</v>
      </c>
      <c r="E1310" s="1117">
        <f>1500+27510</f>
        <v>29010</v>
      </c>
    </row>
    <row r="1311" spans="1:5" ht="17.100000000000001" customHeight="1">
      <c r="A1311" s="812"/>
      <c r="B1311" s="820"/>
      <c r="C1311" s="1029" t="s">
        <v>345</v>
      </c>
      <c r="D1311" s="1030" t="s">
        <v>786</v>
      </c>
      <c r="E1311" s="1117">
        <f>45900+45293</f>
        <v>91193</v>
      </c>
    </row>
    <row r="1312" spans="1:5" ht="17.100000000000001" customHeight="1">
      <c r="A1312" s="812"/>
      <c r="B1312" s="820"/>
      <c r="C1312" s="1029" t="s">
        <v>346</v>
      </c>
      <c r="D1312" s="1030" t="s">
        <v>786</v>
      </c>
      <c r="E1312" s="1117">
        <f>8100+8448</f>
        <v>16548</v>
      </c>
    </row>
    <row r="1313" spans="1:5" ht="17.100000000000001" customHeight="1">
      <c r="A1313" s="812"/>
      <c r="B1313" s="820"/>
      <c r="C1313" s="1029" t="s">
        <v>378</v>
      </c>
      <c r="D1313" s="1030" t="s">
        <v>796</v>
      </c>
      <c r="E1313" s="1117">
        <f>4250+506</f>
        <v>4756</v>
      </c>
    </row>
    <row r="1314" spans="1:5" ht="17.100000000000001" customHeight="1">
      <c r="A1314" s="812"/>
      <c r="B1314" s="820"/>
      <c r="C1314" s="1029" t="s">
        <v>379</v>
      </c>
      <c r="D1314" s="1030" t="s">
        <v>796</v>
      </c>
      <c r="E1314" s="1117">
        <f>750+94</f>
        <v>844</v>
      </c>
    </row>
    <row r="1315" spans="1:5" ht="17.100000000000001" customHeight="1">
      <c r="A1315" s="812"/>
      <c r="B1315" s="820"/>
      <c r="C1315" s="1029" t="s">
        <v>347</v>
      </c>
      <c r="D1315" s="1030" t="s">
        <v>826</v>
      </c>
      <c r="E1315" s="1117">
        <f>8160+1180</f>
        <v>9340</v>
      </c>
    </row>
    <row r="1316" spans="1:5" ht="17.100000000000001" customHeight="1">
      <c r="A1316" s="812"/>
      <c r="B1316" s="820"/>
      <c r="C1316" s="1029" t="s">
        <v>348</v>
      </c>
      <c r="D1316" s="1030" t="s">
        <v>826</v>
      </c>
      <c r="E1316" s="1117">
        <f>1440+220</f>
        <v>1660</v>
      </c>
    </row>
    <row r="1317" spans="1:5" ht="17.100000000000001" customHeight="1">
      <c r="A1317" s="812"/>
      <c r="B1317" s="820"/>
      <c r="C1317" s="1029" t="s">
        <v>380</v>
      </c>
      <c r="D1317" s="1030" t="s">
        <v>800</v>
      </c>
      <c r="E1317" s="1117">
        <f>175950+53096</f>
        <v>229046</v>
      </c>
    </row>
    <row r="1318" spans="1:5" ht="17.100000000000001" customHeight="1">
      <c r="A1318" s="812"/>
      <c r="B1318" s="820"/>
      <c r="C1318" s="1029" t="s">
        <v>381</v>
      </c>
      <c r="D1318" s="1030" t="s">
        <v>800</v>
      </c>
      <c r="E1318" s="1117">
        <f>31050+9904</f>
        <v>40954</v>
      </c>
    </row>
    <row r="1319" spans="1:5" ht="17.100000000000001" customHeight="1">
      <c r="A1319" s="812"/>
      <c r="B1319" s="820"/>
      <c r="C1319" s="838"/>
      <c r="D1319" s="838"/>
      <c r="E1319" s="825"/>
    </row>
    <row r="1320" spans="1:5" ht="17.100000000000001" customHeight="1">
      <c r="A1320" s="812"/>
      <c r="B1320" s="820"/>
      <c r="C1320" s="1702" t="s">
        <v>804</v>
      </c>
      <c r="D1320" s="1702"/>
      <c r="E1320" s="832">
        <f t="shared" ref="E1320" si="155">E1321</f>
        <v>222000</v>
      </c>
    </row>
    <row r="1321" spans="1:5" ht="17.100000000000001" customHeight="1">
      <c r="A1321" s="812"/>
      <c r="B1321" s="820"/>
      <c r="C1321" s="1697" t="s">
        <v>805</v>
      </c>
      <c r="D1321" s="1697"/>
      <c r="E1321" s="828">
        <f>SUM(E1322:E1325)</f>
        <v>222000</v>
      </c>
    </row>
    <row r="1322" spans="1:5" ht="17.100000000000001" customHeight="1">
      <c r="A1322" s="812"/>
      <c r="B1322" s="820"/>
      <c r="C1322" s="1029" t="s">
        <v>405</v>
      </c>
      <c r="D1322" s="1030" t="s">
        <v>806</v>
      </c>
      <c r="E1322" s="828">
        <v>100000</v>
      </c>
    </row>
    <row r="1323" spans="1:5">
      <c r="A1323" s="812"/>
      <c r="B1323" s="820"/>
      <c r="C1323" s="1029" t="s">
        <v>401</v>
      </c>
      <c r="D1323" s="1030" t="s">
        <v>819</v>
      </c>
      <c r="E1323" s="828">
        <v>32000</v>
      </c>
    </row>
    <row r="1324" spans="1:5" ht="17.100000000000001" customHeight="1">
      <c r="A1324" s="812"/>
      <c r="B1324" s="820"/>
      <c r="C1324" s="1029" t="s">
        <v>382</v>
      </c>
      <c r="D1324" s="1030" t="s">
        <v>819</v>
      </c>
      <c r="E1324" s="828">
        <v>76500</v>
      </c>
    </row>
    <row r="1325" spans="1:5" ht="17.100000000000001" customHeight="1">
      <c r="A1325" s="812"/>
      <c r="B1325" s="820"/>
      <c r="C1325" s="1029" t="s">
        <v>850</v>
      </c>
      <c r="D1325" s="1030" t="s">
        <v>819</v>
      </c>
      <c r="E1325" s="828">
        <v>13500</v>
      </c>
    </row>
    <row r="1326" spans="1:5" ht="17.100000000000001" customHeight="1">
      <c r="A1326" s="812"/>
      <c r="B1326" s="820"/>
      <c r="C1326" s="838"/>
      <c r="D1326" s="842"/>
      <c r="E1326" s="843"/>
    </row>
    <row r="1327" spans="1:5" ht="20.25" customHeight="1">
      <c r="A1327" s="812"/>
      <c r="B1327" s="820"/>
      <c r="C1327" s="1698" t="s">
        <v>811</v>
      </c>
      <c r="D1327" s="1719"/>
      <c r="E1327" s="828">
        <f>SUM(E1328:E1329)</f>
        <v>90000</v>
      </c>
    </row>
    <row r="1328" spans="1:5" ht="17.100000000000001" customHeight="1">
      <c r="A1328" s="812"/>
      <c r="B1328" s="820"/>
      <c r="C1328" s="1112" t="s">
        <v>382</v>
      </c>
      <c r="D1328" s="1120" t="s">
        <v>819</v>
      </c>
      <c r="E1328" s="828">
        <v>76500</v>
      </c>
    </row>
    <row r="1329" spans="1:5" ht="17.100000000000001" customHeight="1" thickBot="1">
      <c r="A1329" s="812"/>
      <c r="B1329" s="820"/>
      <c r="C1329" s="965" t="s">
        <v>850</v>
      </c>
      <c r="D1329" s="966" t="s">
        <v>819</v>
      </c>
      <c r="E1329" s="828">
        <v>13500</v>
      </c>
    </row>
    <row r="1330" spans="1:5" ht="17.100000000000001" customHeight="1" thickBot="1">
      <c r="A1330" s="812"/>
      <c r="B1330" s="858" t="s">
        <v>521</v>
      </c>
      <c r="C1330" s="859"/>
      <c r="D1330" s="860" t="s">
        <v>213</v>
      </c>
      <c r="E1330" s="861">
        <f t="shared" ref="E1330" si="156">E1331</f>
        <v>8942444</v>
      </c>
    </row>
    <row r="1331" spans="1:5" ht="17.100000000000001" customHeight="1">
      <c r="A1331" s="812"/>
      <c r="B1331" s="1587"/>
      <c r="C1331" s="1583" t="s">
        <v>753</v>
      </c>
      <c r="D1331" s="1583"/>
      <c r="E1331" s="817">
        <f>E1332</f>
        <v>8942444</v>
      </c>
    </row>
    <row r="1332" spans="1:5" ht="17.100000000000001" customHeight="1">
      <c r="A1332" s="812"/>
      <c r="B1332" s="1587"/>
      <c r="C1332" s="1694" t="s">
        <v>815</v>
      </c>
      <c r="D1332" s="1694"/>
      <c r="E1332" s="1031">
        <f>SUM(E1333:E1334)</f>
        <v>8942444</v>
      </c>
    </row>
    <row r="1333" spans="1:5" ht="53.25" customHeight="1">
      <c r="A1333" s="812"/>
      <c r="B1333" s="1587"/>
      <c r="C1333" s="1061" t="s">
        <v>435</v>
      </c>
      <c r="D1333" s="958" t="s">
        <v>835</v>
      </c>
      <c r="E1333" s="828">
        <f>6339802+1461000</f>
        <v>7800802</v>
      </c>
    </row>
    <row r="1334" spans="1:5" ht="53.25" customHeight="1" thickBot="1">
      <c r="A1334" s="812"/>
      <c r="B1334" s="1587"/>
      <c r="C1334" s="1061" t="s">
        <v>437</v>
      </c>
      <c r="D1334" s="1121" t="s">
        <v>836</v>
      </c>
      <c r="E1334" s="828">
        <v>1141642</v>
      </c>
    </row>
    <row r="1335" spans="1:5" ht="17.100000000000001" customHeight="1" thickBot="1">
      <c r="A1335" s="807" t="s">
        <v>984</v>
      </c>
      <c r="B1335" s="869"/>
      <c r="C1335" s="870"/>
      <c r="D1335" s="871" t="s">
        <v>985</v>
      </c>
      <c r="E1335" s="872">
        <f>SUM(E1336,E1356,)</f>
        <v>2911236</v>
      </c>
    </row>
    <row r="1336" spans="1:5" ht="17.100000000000001" customHeight="1" thickBot="1">
      <c r="A1336" s="812"/>
      <c r="B1336" s="858" t="s">
        <v>986</v>
      </c>
      <c r="C1336" s="859"/>
      <c r="D1336" s="860" t="s">
        <v>987</v>
      </c>
      <c r="E1336" s="861">
        <f t="shared" ref="E1336" si="157">E1337</f>
        <v>795736</v>
      </c>
    </row>
    <row r="1337" spans="1:5" ht="17.100000000000001" customHeight="1">
      <c r="A1337" s="812"/>
      <c r="B1337" s="820"/>
      <c r="C1337" s="1583" t="s">
        <v>753</v>
      </c>
      <c r="D1337" s="1583"/>
      <c r="E1337" s="817">
        <f t="shared" ref="E1337" si="158">E1338+E1354</f>
        <v>795736</v>
      </c>
    </row>
    <row r="1338" spans="1:5" ht="17.100000000000001" customHeight="1">
      <c r="A1338" s="812"/>
      <c r="B1338" s="820"/>
      <c r="C1338" s="1711" t="s">
        <v>754</v>
      </c>
      <c r="D1338" s="1711"/>
      <c r="E1338" s="828">
        <f t="shared" ref="E1338" si="159">E1339+E1345</f>
        <v>792178</v>
      </c>
    </row>
    <row r="1339" spans="1:5" ht="17.100000000000001" customHeight="1">
      <c r="A1339" s="812"/>
      <c r="B1339" s="820"/>
      <c r="C1339" s="1717" t="s">
        <v>755</v>
      </c>
      <c r="D1339" s="1717"/>
      <c r="E1339" s="828">
        <f t="shared" ref="E1339" si="160">SUM(E1340:E1343)</f>
        <v>668787</v>
      </c>
    </row>
    <row r="1340" spans="1:5" ht="17.100000000000001" customHeight="1">
      <c r="A1340" s="812"/>
      <c r="B1340" s="820"/>
      <c r="C1340" s="1029" t="s">
        <v>538</v>
      </c>
      <c r="D1340" s="1030" t="s">
        <v>756</v>
      </c>
      <c r="E1340" s="828">
        <v>518333</v>
      </c>
    </row>
    <row r="1341" spans="1:5" ht="17.100000000000001" customHeight="1">
      <c r="A1341" s="812"/>
      <c r="B1341" s="820"/>
      <c r="C1341" s="1029" t="s">
        <v>757</v>
      </c>
      <c r="D1341" s="1030" t="s">
        <v>758</v>
      </c>
      <c r="E1341" s="828">
        <v>41689</v>
      </c>
    </row>
    <row r="1342" spans="1:5" ht="17.100000000000001" customHeight="1">
      <c r="A1342" s="812"/>
      <c r="B1342" s="820"/>
      <c r="C1342" s="1029" t="s">
        <v>759</v>
      </c>
      <c r="D1342" s="1030" t="s">
        <v>760</v>
      </c>
      <c r="E1342" s="828">
        <v>95196</v>
      </c>
    </row>
    <row r="1343" spans="1:5" ht="17.100000000000001" customHeight="1">
      <c r="A1343" s="812"/>
      <c r="B1343" s="820"/>
      <c r="C1343" s="1029" t="s">
        <v>761</v>
      </c>
      <c r="D1343" s="1030" t="s">
        <v>762</v>
      </c>
      <c r="E1343" s="828">
        <v>13569</v>
      </c>
    </row>
    <row r="1344" spans="1:5" ht="17.100000000000001" customHeight="1">
      <c r="A1344" s="812"/>
      <c r="B1344" s="820"/>
      <c r="C1344" s="838"/>
      <c r="D1344" s="838"/>
      <c r="E1344" s="825"/>
    </row>
    <row r="1345" spans="1:5" ht="17.100000000000001" customHeight="1">
      <c r="A1345" s="812"/>
      <c r="B1345" s="820"/>
      <c r="C1345" s="1698" t="s">
        <v>765</v>
      </c>
      <c r="D1345" s="1698"/>
      <c r="E1345" s="828">
        <f t="shared" ref="E1345" si="161">SUM(E1346:E1352)</f>
        <v>123391</v>
      </c>
    </row>
    <row r="1346" spans="1:5" ht="17.100000000000001" customHeight="1">
      <c r="A1346" s="812"/>
      <c r="B1346" s="820"/>
      <c r="C1346" s="1029" t="s">
        <v>768</v>
      </c>
      <c r="D1346" s="1030" t="s">
        <v>769</v>
      </c>
      <c r="E1346" s="828">
        <v>51287</v>
      </c>
    </row>
    <row r="1347" spans="1:5" ht="17.100000000000001" customHeight="1">
      <c r="A1347" s="812"/>
      <c r="B1347" s="820"/>
      <c r="C1347" s="1029" t="s">
        <v>772</v>
      </c>
      <c r="D1347" s="1030" t="s">
        <v>773</v>
      </c>
      <c r="E1347" s="828">
        <v>39526</v>
      </c>
    </row>
    <row r="1348" spans="1:5" ht="17.100000000000001" customHeight="1">
      <c r="A1348" s="812"/>
      <c r="B1348" s="820"/>
      <c r="C1348" s="1029" t="s">
        <v>776</v>
      </c>
      <c r="D1348" s="1030" t="s">
        <v>777</v>
      </c>
      <c r="E1348" s="828">
        <v>1576</v>
      </c>
    </row>
    <row r="1349" spans="1:5" ht="17.100000000000001" customHeight="1">
      <c r="A1349" s="812"/>
      <c r="B1349" s="820"/>
      <c r="C1349" s="1029" t="s">
        <v>517</v>
      </c>
      <c r="D1349" s="1030" t="s">
        <v>778</v>
      </c>
      <c r="E1349" s="828">
        <v>3294</v>
      </c>
    </row>
    <row r="1350" spans="1:5" ht="16.5" customHeight="1">
      <c r="A1350" s="812"/>
      <c r="B1350" s="1642"/>
      <c r="C1350" s="1029" t="s">
        <v>779</v>
      </c>
      <c r="D1350" s="1030" t="s">
        <v>874</v>
      </c>
      <c r="E1350" s="828">
        <v>620</v>
      </c>
    </row>
    <row r="1351" spans="1:5" ht="17.100000000000001" customHeight="1">
      <c r="A1351" s="812"/>
      <c r="B1351" s="1642"/>
      <c r="C1351" s="1096" t="s">
        <v>789</v>
      </c>
      <c r="D1351" s="1097" t="s">
        <v>790</v>
      </c>
      <c r="E1351" s="828">
        <v>25494</v>
      </c>
    </row>
    <row r="1352" spans="1:5" ht="17.100000000000001" customHeight="1">
      <c r="A1352" s="812"/>
      <c r="B1352" s="1642"/>
      <c r="C1352" s="1061" t="s">
        <v>795</v>
      </c>
      <c r="D1352" s="958" t="s">
        <v>988</v>
      </c>
      <c r="E1352" s="828">
        <v>1594</v>
      </c>
    </row>
    <row r="1353" spans="1:5" ht="17.100000000000001" customHeight="1">
      <c r="A1353" s="812"/>
      <c r="B1353" s="1642"/>
      <c r="C1353" s="838"/>
      <c r="D1353" s="838"/>
      <c r="E1353" s="825"/>
    </row>
    <row r="1354" spans="1:5" ht="17.100000000000001" customHeight="1">
      <c r="A1354" s="812"/>
      <c r="B1354" s="1642"/>
      <c r="C1354" s="1697" t="s">
        <v>801</v>
      </c>
      <c r="D1354" s="1697"/>
      <c r="E1354" s="828">
        <f t="shared" ref="E1354" si="162">E1355</f>
        <v>3558</v>
      </c>
    </row>
    <row r="1355" spans="1:5" ht="17.100000000000001" customHeight="1">
      <c r="A1355" s="812"/>
      <c r="B1355" s="1718"/>
      <c r="C1355" s="1122" t="s">
        <v>802</v>
      </c>
      <c r="D1355" s="1036" t="s">
        <v>803</v>
      </c>
      <c r="E1355" s="828">
        <v>3558</v>
      </c>
    </row>
    <row r="1356" spans="1:5" ht="17.100000000000001" customHeight="1" thickBot="1">
      <c r="A1356" s="812"/>
      <c r="B1356" s="1071" t="s">
        <v>421</v>
      </c>
      <c r="C1356" s="1072"/>
      <c r="D1356" s="1073" t="s">
        <v>989</v>
      </c>
      <c r="E1356" s="1074">
        <f t="shared" ref="E1356:E1357" si="163">E1357</f>
        <v>2115500</v>
      </c>
    </row>
    <row r="1357" spans="1:5" ht="17.100000000000001" customHeight="1">
      <c r="A1357" s="812"/>
      <c r="B1357" s="1587"/>
      <c r="C1357" s="1583" t="s">
        <v>753</v>
      </c>
      <c r="D1357" s="1583"/>
      <c r="E1357" s="817">
        <f t="shared" si="163"/>
        <v>2115500</v>
      </c>
    </row>
    <row r="1358" spans="1:5" ht="17.100000000000001" customHeight="1">
      <c r="A1358" s="812"/>
      <c r="B1358" s="1587"/>
      <c r="C1358" s="1695" t="s">
        <v>813</v>
      </c>
      <c r="D1358" s="1695"/>
      <c r="E1358" s="828">
        <f>SUM(E1359:E1381)</f>
        <v>2115500</v>
      </c>
    </row>
    <row r="1359" spans="1:5">
      <c r="A1359" s="812"/>
      <c r="B1359" s="1587"/>
      <c r="C1359" s="1029" t="s">
        <v>422</v>
      </c>
      <c r="D1359" s="1030" t="s">
        <v>937</v>
      </c>
      <c r="E1359" s="828">
        <v>1657500</v>
      </c>
    </row>
    <row r="1360" spans="1:5" ht="17.100000000000001" customHeight="1">
      <c r="A1360" s="812"/>
      <c r="B1360" s="820"/>
      <c r="C1360" s="1029" t="s">
        <v>423</v>
      </c>
      <c r="D1360" s="1030" t="s">
        <v>937</v>
      </c>
      <c r="E1360" s="828">
        <v>292500</v>
      </c>
    </row>
    <row r="1361" spans="1:5" ht="17.100000000000001" hidden="1" customHeight="1">
      <c r="A1361" s="812"/>
      <c r="B1361" s="820"/>
      <c r="C1361" s="1029" t="s">
        <v>391</v>
      </c>
      <c r="D1361" s="1030" t="s">
        <v>756</v>
      </c>
      <c r="E1361" s="828">
        <v>0</v>
      </c>
    </row>
    <row r="1362" spans="1:5" ht="17.100000000000001" customHeight="1">
      <c r="A1362" s="812"/>
      <c r="B1362" s="820"/>
      <c r="C1362" s="1029" t="s">
        <v>391</v>
      </c>
      <c r="D1362" s="1030" t="s">
        <v>756</v>
      </c>
      <c r="E1362" s="828">
        <v>105656</v>
      </c>
    </row>
    <row r="1363" spans="1:5" ht="17.100000000000001" customHeight="1">
      <c r="A1363" s="812"/>
      <c r="B1363" s="820"/>
      <c r="C1363" s="1029" t="s">
        <v>363</v>
      </c>
      <c r="D1363" s="1030" t="s">
        <v>756</v>
      </c>
      <c r="E1363" s="828">
        <v>18646</v>
      </c>
    </row>
    <row r="1364" spans="1:5" ht="17.100000000000001" hidden="1" customHeight="1">
      <c r="A1364" s="812"/>
      <c r="B1364" s="820"/>
      <c r="C1364" s="1029" t="s">
        <v>392</v>
      </c>
      <c r="D1364" s="1030" t="s">
        <v>760</v>
      </c>
      <c r="E1364" s="828">
        <v>0</v>
      </c>
    </row>
    <row r="1365" spans="1:5" ht="17.100000000000001" customHeight="1">
      <c r="A1365" s="812"/>
      <c r="B1365" s="820"/>
      <c r="C1365" s="1029" t="s">
        <v>392</v>
      </c>
      <c r="D1365" s="1030" t="s">
        <v>760</v>
      </c>
      <c r="E1365" s="828">
        <v>18362</v>
      </c>
    </row>
    <row r="1366" spans="1:5" ht="17.100000000000001" customHeight="1">
      <c r="A1366" s="812"/>
      <c r="B1366" s="820"/>
      <c r="C1366" s="1029" t="s">
        <v>337</v>
      </c>
      <c r="D1366" s="1030" t="s">
        <v>760</v>
      </c>
      <c r="E1366" s="828">
        <v>3241</v>
      </c>
    </row>
    <row r="1367" spans="1:5" ht="17.100000000000001" hidden="1" customHeight="1">
      <c r="A1367" s="812"/>
      <c r="B1367" s="820"/>
      <c r="C1367" s="1029" t="s">
        <v>393</v>
      </c>
      <c r="D1367" s="1030" t="s">
        <v>762</v>
      </c>
      <c r="E1367" s="828">
        <v>0</v>
      </c>
    </row>
    <row r="1368" spans="1:5" ht="17.100000000000001" customHeight="1">
      <c r="A1368" s="812"/>
      <c r="B1368" s="820"/>
      <c r="C1368" s="1029" t="s">
        <v>393</v>
      </c>
      <c r="D1368" s="1030" t="s">
        <v>762</v>
      </c>
      <c r="E1368" s="828">
        <v>2589</v>
      </c>
    </row>
    <row r="1369" spans="1:5" ht="17.100000000000001" customHeight="1">
      <c r="A1369" s="812"/>
      <c r="B1369" s="820"/>
      <c r="C1369" s="1029" t="s">
        <v>367</v>
      </c>
      <c r="D1369" s="1030" t="s">
        <v>762</v>
      </c>
      <c r="E1369" s="828">
        <v>456</v>
      </c>
    </row>
    <row r="1370" spans="1:5" ht="17.100000000000001" hidden="1" customHeight="1">
      <c r="A1370" s="812"/>
      <c r="B1370" s="820"/>
      <c r="C1370" s="1029" t="s">
        <v>410</v>
      </c>
      <c r="D1370" s="1030" t="s">
        <v>764</v>
      </c>
      <c r="E1370" s="828">
        <v>0</v>
      </c>
    </row>
    <row r="1371" spans="1:5" ht="17.100000000000001" hidden="1" customHeight="1">
      <c r="A1371" s="812"/>
      <c r="B1371" s="820"/>
      <c r="C1371" s="1029" t="s">
        <v>339</v>
      </c>
      <c r="D1371" s="1030" t="s">
        <v>764</v>
      </c>
      <c r="E1371" s="828">
        <v>0</v>
      </c>
    </row>
    <row r="1372" spans="1:5" ht="17.100000000000001" hidden="1" customHeight="1">
      <c r="A1372" s="812"/>
      <c r="B1372" s="820"/>
      <c r="C1372" s="1029" t="s">
        <v>411</v>
      </c>
      <c r="D1372" s="1030" t="s">
        <v>769</v>
      </c>
      <c r="E1372" s="828">
        <v>0</v>
      </c>
    </row>
    <row r="1373" spans="1:5" ht="17.100000000000001" customHeight="1">
      <c r="A1373" s="812"/>
      <c r="B1373" s="820"/>
      <c r="C1373" s="1029" t="s">
        <v>411</v>
      </c>
      <c r="D1373" s="1030" t="s">
        <v>769</v>
      </c>
      <c r="E1373" s="828">
        <v>8441</v>
      </c>
    </row>
    <row r="1374" spans="1:5" ht="17.100000000000001" customHeight="1">
      <c r="A1374" s="812"/>
      <c r="B1374" s="820"/>
      <c r="C1374" s="1029" t="s">
        <v>342</v>
      </c>
      <c r="D1374" s="1030" t="s">
        <v>769</v>
      </c>
      <c r="E1374" s="828">
        <v>1489</v>
      </c>
    </row>
    <row r="1375" spans="1:5" ht="17.100000000000001" customHeight="1">
      <c r="A1375" s="812"/>
      <c r="B1375" s="820"/>
      <c r="C1375" s="1029" t="s">
        <v>424</v>
      </c>
      <c r="D1375" s="1030" t="s">
        <v>773</v>
      </c>
      <c r="E1375" s="828">
        <v>2814</v>
      </c>
    </row>
    <row r="1376" spans="1:5" ht="17.100000000000001" customHeight="1">
      <c r="A1376" s="812"/>
      <c r="B1376" s="820"/>
      <c r="C1376" s="1029" t="s">
        <v>373</v>
      </c>
      <c r="D1376" s="1030" t="s">
        <v>773</v>
      </c>
      <c r="E1376" s="828">
        <v>496</v>
      </c>
    </row>
    <row r="1377" spans="1:5" ht="17.100000000000001" customHeight="1">
      <c r="A1377" s="812"/>
      <c r="B1377" s="820"/>
      <c r="C1377" s="1029" t="s">
        <v>394</v>
      </c>
      <c r="D1377" s="1030" t="s">
        <v>778</v>
      </c>
      <c r="E1377" s="828">
        <v>1407</v>
      </c>
    </row>
    <row r="1378" spans="1:5" ht="17.100000000000001" customHeight="1">
      <c r="A1378" s="812"/>
      <c r="B1378" s="820"/>
      <c r="C1378" s="1029" t="s">
        <v>344</v>
      </c>
      <c r="D1378" s="1030" t="s">
        <v>778</v>
      </c>
      <c r="E1378" s="828">
        <v>248</v>
      </c>
    </row>
    <row r="1379" spans="1:5" ht="17.100000000000001" customHeight="1">
      <c r="A1379" s="812"/>
      <c r="B1379" s="820"/>
      <c r="C1379" s="1029" t="s">
        <v>425</v>
      </c>
      <c r="D1379" s="1030" t="s">
        <v>874</v>
      </c>
      <c r="E1379" s="828">
        <v>1406</v>
      </c>
    </row>
    <row r="1380" spans="1:5" ht="17.100000000000001" customHeight="1" thickBot="1">
      <c r="A1380" s="812"/>
      <c r="B1380" s="820"/>
      <c r="C1380" s="1029" t="s">
        <v>426</v>
      </c>
      <c r="D1380" s="1030" t="s">
        <v>874</v>
      </c>
      <c r="E1380" s="828">
        <v>249</v>
      </c>
    </row>
    <row r="1381" spans="1:5" ht="17.100000000000001" hidden="1" customHeight="1">
      <c r="A1381" s="812"/>
      <c r="B1381" s="820"/>
      <c r="C1381" s="1029" t="s">
        <v>418</v>
      </c>
      <c r="D1381" s="1030" t="s">
        <v>782</v>
      </c>
      <c r="E1381" s="828"/>
    </row>
    <row r="1382" spans="1:5" ht="13.5" thickBot="1">
      <c r="A1382" s="807" t="s">
        <v>174</v>
      </c>
      <c r="B1382" s="869"/>
      <c r="C1382" s="870"/>
      <c r="D1382" s="871" t="s">
        <v>990</v>
      </c>
      <c r="E1382" s="872">
        <f>E1383+E1389+E1404+E1430</f>
        <v>4259696</v>
      </c>
    </row>
    <row r="1383" spans="1:5" ht="13.5" thickBot="1">
      <c r="A1383" s="812"/>
      <c r="B1383" s="858" t="s">
        <v>991</v>
      </c>
      <c r="C1383" s="859"/>
      <c r="D1383" s="860" t="s">
        <v>992</v>
      </c>
      <c r="E1383" s="861">
        <f t="shared" ref="E1383" si="164">E1384</f>
        <v>3500</v>
      </c>
    </row>
    <row r="1384" spans="1:5" ht="15.75" customHeight="1">
      <c r="A1384" s="812"/>
      <c r="B1384" s="820"/>
      <c r="C1384" s="1583" t="s">
        <v>753</v>
      </c>
      <c r="D1384" s="1583"/>
      <c r="E1384" s="817">
        <f t="shared" ref="E1384:E1385" si="165">SUM(E1385)</f>
        <v>3500</v>
      </c>
    </row>
    <row r="1385" spans="1:5" ht="15.75" customHeight="1">
      <c r="A1385" s="812"/>
      <c r="B1385" s="820"/>
      <c r="C1385" s="1711" t="s">
        <v>754</v>
      </c>
      <c r="D1385" s="1711"/>
      <c r="E1385" s="828">
        <f t="shared" si="165"/>
        <v>3500</v>
      </c>
    </row>
    <row r="1386" spans="1:5" ht="15.75" customHeight="1">
      <c r="A1386" s="812"/>
      <c r="B1386" s="820"/>
      <c r="C1386" s="1698" t="s">
        <v>765</v>
      </c>
      <c r="D1386" s="1698"/>
      <c r="E1386" s="828">
        <f t="shared" ref="E1386" si="166">SUM(E1387:E1388)</f>
        <v>3500</v>
      </c>
    </row>
    <row r="1387" spans="1:5" ht="15.75" customHeight="1">
      <c r="A1387" s="812"/>
      <c r="B1387" s="820"/>
      <c r="C1387" s="1029" t="s">
        <v>768</v>
      </c>
      <c r="D1387" s="1030" t="s">
        <v>769</v>
      </c>
      <c r="E1387" s="828">
        <v>1000</v>
      </c>
    </row>
    <row r="1388" spans="1:5" ht="15.75" customHeight="1" thickBot="1">
      <c r="A1388" s="812"/>
      <c r="B1388" s="820"/>
      <c r="C1388" s="1096" t="s">
        <v>517</v>
      </c>
      <c r="D1388" s="1097" t="s">
        <v>778</v>
      </c>
      <c r="E1388" s="1031">
        <v>2500</v>
      </c>
    </row>
    <row r="1389" spans="1:5" ht="12.75" customHeight="1" thickBot="1">
      <c r="A1389" s="812"/>
      <c r="B1389" s="858" t="s">
        <v>175</v>
      </c>
      <c r="C1389" s="859"/>
      <c r="D1389" s="860" t="s">
        <v>723</v>
      </c>
      <c r="E1389" s="861">
        <f>E1390</f>
        <v>2298646</v>
      </c>
    </row>
    <row r="1390" spans="1:5" ht="12.75" customHeight="1">
      <c r="A1390" s="812"/>
      <c r="B1390" s="820"/>
      <c r="C1390" s="1583" t="s">
        <v>753</v>
      </c>
      <c r="D1390" s="1583"/>
      <c r="E1390" s="817">
        <f>SUM(E1394,E1391)</f>
        <v>2298646</v>
      </c>
    </row>
    <row r="1391" spans="1:5" ht="12.75" customHeight="1">
      <c r="A1391" s="812"/>
      <c r="B1391" s="820"/>
      <c r="C1391" s="1720" t="s">
        <v>993</v>
      </c>
      <c r="D1391" s="1721"/>
      <c r="E1391" s="828">
        <f t="shared" ref="E1391" si="167">SUM(E1392)</f>
        <v>90000</v>
      </c>
    </row>
    <row r="1392" spans="1:5" ht="38.25">
      <c r="A1392" s="812"/>
      <c r="B1392" s="820"/>
      <c r="C1392" s="1029" t="s">
        <v>827</v>
      </c>
      <c r="D1392" s="1030" t="s">
        <v>828</v>
      </c>
      <c r="E1392" s="1123">
        <v>90000</v>
      </c>
    </row>
    <row r="1393" spans="1:5">
      <c r="A1393" s="812"/>
      <c r="B1393" s="820"/>
      <c r="C1393" s="1124"/>
      <c r="D1393" s="1124"/>
      <c r="E1393" s="1125"/>
    </row>
    <row r="1394" spans="1:5">
      <c r="A1394" s="812"/>
      <c r="B1394" s="820"/>
      <c r="C1394" s="1695" t="s">
        <v>813</v>
      </c>
      <c r="D1394" s="1695"/>
      <c r="E1394" s="1031">
        <f>SUM(E1395:E1403)</f>
        <v>2208646</v>
      </c>
    </row>
    <row r="1395" spans="1:5" ht="51">
      <c r="A1395" s="812"/>
      <c r="B1395" s="820"/>
      <c r="C1395" s="1029" t="s">
        <v>404</v>
      </c>
      <c r="D1395" s="883" t="s">
        <v>836</v>
      </c>
      <c r="E1395" s="1031">
        <v>1270121</v>
      </c>
    </row>
    <row r="1396" spans="1:5" ht="15.75" customHeight="1">
      <c r="A1396" s="812"/>
      <c r="B1396" s="820"/>
      <c r="C1396" s="1029" t="s">
        <v>391</v>
      </c>
      <c r="D1396" s="1030" t="s">
        <v>756</v>
      </c>
      <c r="E1396" s="1031">
        <v>179758</v>
      </c>
    </row>
    <row r="1397" spans="1:5" ht="15.75" customHeight="1">
      <c r="A1397" s="812"/>
      <c r="B1397" s="820"/>
      <c r="C1397" s="1029" t="s">
        <v>363</v>
      </c>
      <c r="D1397" s="1030" t="s">
        <v>756</v>
      </c>
      <c r="E1397" s="1031">
        <v>23317</v>
      </c>
    </row>
    <row r="1398" spans="1:5" ht="15.75" customHeight="1">
      <c r="A1398" s="812"/>
      <c r="B1398" s="820"/>
      <c r="C1398" s="1029" t="s">
        <v>392</v>
      </c>
      <c r="D1398" s="1030" t="s">
        <v>760</v>
      </c>
      <c r="E1398" s="1031">
        <v>30434</v>
      </c>
    </row>
    <row r="1399" spans="1:5" ht="15.75" customHeight="1">
      <c r="A1399" s="812"/>
      <c r="B1399" s="820"/>
      <c r="C1399" s="1029" t="s">
        <v>337</v>
      </c>
      <c r="D1399" s="1030" t="s">
        <v>760</v>
      </c>
      <c r="E1399" s="1031">
        <v>3948</v>
      </c>
    </row>
    <row r="1400" spans="1:5" ht="15.75" customHeight="1">
      <c r="A1400" s="812"/>
      <c r="B1400" s="820"/>
      <c r="C1400" s="1029" t="s">
        <v>393</v>
      </c>
      <c r="D1400" s="1030" t="s">
        <v>762</v>
      </c>
      <c r="E1400" s="1031">
        <v>4405</v>
      </c>
    </row>
    <row r="1401" spans="1:5" ht="15.75" customHeight="1">
      <c r="A1401" s="812"/>
      <c r="B1401" s="820"/>
      <c r="C1401" s="1029" t="s">
        <v>367</v>
      </c>
      <c r="D1401" s="1030" t="s">
        <v>762</v>
      </c>
      <c r="E1401" s="1031">
        <v>571</v>
      </c>
    </row>
    <row r="1402" spans="1:5" ht="15.75" customHeight="1">
      <c r="A1402" s="812"/>
      <c r="B1402" s="820"/>
      <c r="C1402" s="1029" t="s">
        <v>394</v>
      </c>
      <c r="D1402" s="1030" t="s">
        <v>778</v>
      </c>
      <c r="E1402" s="1031">
        <v>409754</v>
      </c>
    </row>
    <row r="1403" spans="1:5" ht="15.75" customHeight="1" thickBot="1">
      <c r="A1403" s="812"/>
      <c r="B1403" s="820"/>
      <c r="C1403" s="1096" t="s">
        <v>344</v>
      </c>
      <c r="D1403" s="1097" t="s">
        <v>778</v>
      </c>
      <c r="E1403" s="1031">
        <v>286338</v>
      </c>
    </row>
    <row r="1404" spans="1:5" ht="15.75" customHeight="1" thickBot="1">
      <c r="A1404" s="812"/>
      <c r="B1404" s="858" t="s">
        <v>245</v>
      </c>
      <c r="C1404" s="859"/>
      <c r="D1404" s="860" t="s">
        <v>726</v>
      </c>
      <c r="E1404" s="861">
        <f t="shared" ref="E1404" si="168">E1405</f>
        <v>750000</v>
      </c>
    </row>
    <row r="1405" spans="1:5" ht="15.75" customHeight="1">
      <c r="A1405" s="812"/>
      <c r="B1405" s="820"/>
      <c r="C1405" s="1583" t="s">
        <v>753</v>
      </c>
      <c r="D1405" s="1583"/>
      <c r="E1405" s="817">
        <f>E1406+E1428</f>
        <v>750000</v>
      </c>
    </row>
    <row r="1406" spans="1:5" ht="15.75" customHeight="1">
      <c r="A1406" s="812"/>
      <c r="B1406" s="820"/>
      <c r="C1406" s="1711" t="s">
        <v>754</v>
      </c>
      <c r="D1406" s="1711"/>
      <c r="E1406" s="828">
        <f t="shared" ref="E1406" si="169">E1407+E1413</f>
        <v>748000</v>
      </c>
    </row>
    <row r="1407" spans="1:5" ht="15.75" customHeight="1">
      <c r="A1407" s="812"/>
      <c r="B1407" s="820"/>
      <c r="C1407" s="1717" t="s">
        <v>755</v>
      </c>
      <c r="D1407" s="1717"/>
      <c r="E1407" s="841">
        <f t="shared" ref="E1407" si="170">SUM(E1408:E1411)</f>
        <v>638887</v>
      </c>
    </row>
    <row r="1408" spans="1:5" ht="15.75" customHeight="1">
      <c r="A1408" s="812"/>
      <c r="B1408" s="820"/>
      <c r="C1408" s="1029" t="s">
        <v>538</v>
      </c>
      <c r="D1408" s="1030" t="s">
        <v>756</v>
      </c>
      <c r="E1408" s="828">
        <v>484355</v>
      </c>
    </row>
    <row r="1409" spans="1:5" ht="15.75" customHeight="1">
      <c r="A1409" s="812"/>
      <c r="B1409" s="820"/>
      <c r="C1409" s="1029" t="s">
        <v>757</v>
      </c>
      <c r="D1409" s="1030" t="s">
        <v>758</v>
      </c>
      <c r="E1409" s="828">
        <v>56480</v>
      </c>
    </row>
    <row r="1410" spans="1:5" ht="15.75" customHeight="1">
      <c r="A1410" s="812"/>
      <c r="B1410" s="820"/>
      <c r="C1410" s="1029" t="s">
        <v>759</v>
      </c>
      <c r="D1410" s="1030" t="s">
        <v>760</v>
      </c>
      <c r="E1410" s="828">
        <v>85656</v>
      </c>
    </row>
    <row r="1411" spans="1:5" ht="15.75" customHeight="1">
      <c r="A1411" s="812"/>
      <c r="B1411" s="820"/>
      <c r="C1411" s="1029" t="s">
        <v>761</v>
      </c>
      <c r="D1411" s="1030" t="s">
        <v>762</v>
      </c>
      <c r="E1411" s="828">
        <v>12396</v>
      </c>
    </row>
    <row r="1412" spans="1:5" ht="15.75" customHeight="1">
      <c r="A1412" s="812"/>
      <c r="B1412" s="820"/>
      <c r="C1412" s="838"/>
      <c r="D1412" s="838"/>
      <c r="E1412" s="825"/>
    </row>
    <row r="1413" spans="1:5" ht="15.75" customHeight="1">
      <c r="A1413" s="812"/>
      <c r="B1413" s="820"/>
      <c r="C1413" s="1698" t="s">
        <v>765</v>
      </c>
      <c r="D1413" s="1698"/>
      <c r="E1413" s="841">
        <f>SUM(E1414:E1426)</f>
        <v>109113</v>
      </c>
    </row>
    <row r="1414" spans="1:5" ht="15.75" customHeight="1">
      <c r="A1414" s="812"/>
      <c r="B1414" s="820"/>
      <c r="C1414" s="1029" t="s">
        <v>766</v>
      </c>
      <c r="D1414" s="1030" t="s">
        <v>767</v>
      </c>
      <c r="E1414" s="828">
        <v>700</v>
      </c>
    </row>
    <row r="1415" spans="1:5" ht="15.75" customHeight="1">
      <c r="A1415" s="812"/>
      <c r="B1415" s="820"/>
      <c r="C1415" s="1029" t="s">
        <v>768</v>
      </c>
      <c r="D1415" s="1030" t="s">
        <v>769</v>
      </c>
      <c r="E1415" s="828">
        <v>10540</v>
      </c>
    </row>
    <row r="1416" spans="1:5" ht="15.75" customHeight="1">
      <c r="A1416" s="812"/>
      <c r="B1416" s="820"/>
      <c r="C1416" s="1029" t="s">
        <v>770</v>
      </c>
      <c r="D1416" s="1030" t="s">
        <v>771</v>
      </c>
      <c r="E1416" s="828">
        <v>1250</v>
      </c>
    </row>
    <row r="1417" spans="1:5" ht="15.75" customHeight="1">
      <c r="A1417" s="812"/>
      <c r="B1417" s="820"/>
      <c r="C1417" s="1029" t="s">
        <v>772</v>
      </c>
      <c r="D1417" s="1030" t="s">
        <v>773</v>
      </c>
      <c r="E1417" s="828">
        <v>6100</v>
      </c>
    </row>
    <row r="1418" spans="1:5" ht="15.75" customHeight="1">
      <c r="A1418" s="812"/>
      <c r="B1418" s="820"/>
      <c r="C1418" s="1029" t="s">
        <v>774</v>
      </c>
      <c r="D1418" s="1030" t="s">
        <v>775</v>
      </c>
      <c r="E1418" s="828">
        <v>806</v>
      </c>
    </row>
    <row r="1419" spans="1:5" ht="15.75" customHeight="1">
      <c r="A1419" s="812"/>
      <c r="B1419" s="820"/>
      <c r="C1419" s="1029" t="s">
        <v>776</v>
      </c>
      <c r="D1419" s="1030" t="s">
        <v>777</v>
      </c>
      <c r="E1419" s="828">
        <v>600</v>
      </c>
    </row>
    <row r="1420" spans="1:5" ht="15.75" customHeight="1">
      <c r="A1420" s="812"/>
      <c r="B1420" s="820"/>
      <c r="C1420" s="1029" t="s">
        <v>517</v>
      </c>
      <c r="D1420" s="1030" t="s">
        <v>778</v>
      </c>
      <c r="E1420" s="828">
        <v>48000</v>
      </c>
    </row>
    <row r="1421" spans="1:5" ht="15.75" customHeight="1">
      <c r="A1421" s="812"/>
      <c r="B1421" s="1642"/>
      <c r="C1421" s="1029" t="s">
        <v>779</v>
      </c>
      <c r="D1421" s="1030" t="s">
        <v>874</v>
      </c>
      <c r="E1421" s="828">
        <v>2850</v>
      </c>
    </row>
    <row r="1422" spans="1:5" ht="15.75" customHeight="1">
      <c r="A1422" s="812"/>
      <c r="B1422" s="1642"/>
      <c r="C1422" s="1096" t="s">
        <v>785</v>
      </c>
      <c r="D1422" s="1097" t="s">
        <v>786</v>
      </c>
      <c r="E1422" s="828">
        <v>7500</v>
      </c>
    </row>
    <row r="1423" spans="1:5" ht="15.75" customHeight="1">
      <c r="A1423" s="812"/>
      <c r="B1423" s="1642"/>
      <c r="C1423" s="1126" t="s">
        <v>789</v>
      </c>
      <c r="D1423" s="958" t="s">
        <v>790</v>
      </c>
      <c r="E1423" s="828">
        <v>21939</v>
      </c>
    </row>
    <row r="1424" spans="1:5" ht="15.75" customHeight="1">
      <c r="A1424" s="812"/>
      <c r="B1424" s="1642"/>
      <c r="C1424" s="1126" t="s">
        <v>791</v>
      </c>
      <c r="D1424" s="958" t="s">
        <v>792</v>
      </c>
      <c r="E1424" s="828">
        <v>1500</v>
      </c>
    </row>
    <row r="1425" spans="1:5" ht="15.75" customHeight="1">
      <c r="A1425" s="812"/>
      <c r="B1425" s="1642"/>
      <c r="C1425" s="1061" t="s">
        <v>795</v>
      </c>
      <c r="D1425" s="958" t="s">
        <v>988</v>
      </c>
      <c r="E1425" s="828">
        <v>4828</v>
      </c>
    </row>
    <row r="1426" spans="1:5" ht="15.75" customHeight="1">
      <c r="A1426" s="812"/>
      <c r="B1426" s="1642"/>
      <c r="C1426" s="1061" t="s">
        <v>799</v>
      </c>
      <c r="D1426" s="958" t="s">
        <v>888</v>
      </c>
      <c r="E1426" s="828">
        <v>2500</v>
      </c>
    </row>
    <row r="1427" spans="1:5" ht="15.75" customHeight="1">
      <c r="A1427" s="812"/>
      <c r="B1427" s="1642"/>
      <c r="C1427" s="838"/>
      <c r="D1427" s="838"/>
      <c r="E1427" s="825"/>
    </row>
    <row r="1428" spans="1:5" ht="15.75" customHeight="1">
      <c r="A1428" s="812"/>
      <c r="B1428" s="1642"/>
      <c r="C1428" s="1697" t="s">
        <v>801</v>
      </c>
      <c r="D1428" s="1697"/>
      <c r="E1428" s="828">
        <f t="shared" ref="E1428" si="171">E1429</f>
        <v>2000</v>
      </c>
    </row>
    <row r="1429" spans="1:5" ht="15.75" customHeight="1" thickBot="1">
      <c r="A1429" s="812"/>
      <c r="B1429" s="1642"/>
      <c r="C1429" s="1096" t="s">
        <v>802</v>
      </c>
      <c r="D1429" s="1097" t="s">
        <v>803</v>
      </c>
      <c r="E1429" s="1031">
        <v>2000</v>
      </c>
    </row>
    <row r="1430" spans="1:5" ht="15.75" customHeight="1" thickBot="1">
      <c r="A1430" s="812"/>
      <c r="B1430" s="858" t="s">
        <v>176</v>
      </c>
      <c r="C1430" s="859"/>
      <c r="D1430" s="860" t="s">
        <v>182</v>
      </c>
      <c r="E1430" s="861">
        <f t="shared" ref="E1430" si="172">E1431</f>
        <v>1207550</v>
      </c>
    </row>
    <row r="1431" spans="1:5" ht="15.75" customHeight="1">
      <c r="A1431" s="812"/>
      <c r="B1431" s="1642"/>
      <c r="C1431" s="1583" t="s">
        <v>753</v>
      </c>
      <c r="D1431" s="1583"/>
      <c r="E1431" s="817">
        <f>SUM(E1436,E1432)</f>
        <v>1207550</v>
      </c>
    </row>
    <row r="1432" spans="1:5" ht="15.75" customHeight="1">
      <c r="A1432" s="812"/>
      <c r="B1432" s="1642"/>
      <c r="C1432" s="1711" t="s">
        <v>754</v>
      </c>
      <c r="D1432" s="1711"/>
      <c r="E1432" s="828">
        <f t="shared" ref="E1432" si="173">E1433</f>
        <v>1000</v>
      </c>
    </row>
    <row r="1433" spans="1:5" ht="15.75" customHeight="1">
      <c r="A1433" s="812"/>
      <c r="B1433" s="1642"/>
      <c r="C1433" s="1698" t="s">
        <v>765</v>
      </c>
      <c r="D1433" s="1698"/>
      <c r="E1433" s="841">
        <f>SUM(E1434:E1434)</f>
        <v>1000</v>
      </c>
    </row>
    <row r="1434" spans="1:5" ht="15.75" customHeight="1">
      <c r="A1434" s="812"/>
      <c r="B1434" s="1642"/>
      <c r="C1434" s="1029" t="s">
        <v>768</v>
      </c>
      <c r="D1434" s="1030" t="s">
        <v>769</v>
      </c>
      <c r="E1434" s="828">
        <v>1000</v>
      </c>
    </row>
    <row r="1435" spans="1:5">
      <c r="A1435" s="812"/>
      <c r="B1435" s="1642"/>
      <c r="C1435" s="1029"/>
      <c r="D1435" s="1030"/>
      <c r="E1435" s="828"/>
    </row>
    <row r="1436" spans="1:5">
      <c r="A1436" s="812"/>
      <c r="B1436" s="1642"/>
      <c r="C1436" s="1720" t="s">
        <v>815</v>
      </c>
      <c r="D1436" s="1721"/>
      <c r="E1436" s="828">
        <f t="shared" ref="E1436" si="174">SUM(E1437:E1437)</f>
        <v>1206550</v>
      </c>
    </row>
    <row r="1437" spans="1:5" ht="39" thickBot="1">
      <c r="A1437" s="812"/>
      <c r="B1437" s="1642"/>
      <c r="C1437" s="1096" t="s">
        <v>827</v>
      </c>
      <c r="D1437" s="1097" t="s">
        <v>828</v>
      </c>
      <c r="E1437" s="1031">
        <v>1206550</v>
      </c>
    </row>
    <row r="1438" spans="1:5" ht="17.100000000000001" customHeight="1" thickBot="1">
      <c r="A1438" s="1127" t="s">
        <v>135</v>
      </c>
      <c r="B1438" s="1128"/>
      <c r="C1438" s="1129"/>
      <c r="D1438" s="1130" t="s">
        <v>994</v>
      </c>
      <c r="E1438" s="1131">
        <f>E1439+E1448+E1462+E1467+E1473</f>
        <v>811211</v>
      </c>
    </row>
    <row r="1439" spans="1:5" ht="17.100000000000001" customHeight="1" thickBot="1">
      <c r="A1439" s="812"/>
      <c r="B1439" s="858" t="s">
        <v>136</v>
      </c>
      <c r="C1439" s="859"/>
      <c r="D1439" s="860" t="s">
        <v>995</v>
      </c>
      <c r="E1439" s="1001">
        <f t="shared" ref="E1439" si="175">SUM(E1440)</f>
        <v>105911</v>
      </c>
    </row>
    <row r="1440" spans="1:5" ht="17.100000000000001" customHeight="1">
      <c r="A1440" s="812"/>
      <c r="B1440" s="1587"/>
      <c r="C1440" s="1583" t="s">
        <v>753</v>
      </c>
      <c r="D1440" s="1583"/>
      <c r="E1440" s="1002">
        <f>E1441+E1446</f>
        <v>105911</v>
      </c>
    </row>
    <row r="1441" spans="1:5" ht="17.100000000000001" customHeight="1">
      <c r="A1441" s="812"/>
      <c r="B1441" s="1587"/>
      <c r="C1441" s="1711" t="s">
        <v>754</v>
      </c>
      <c r="D1441" s="1711"/>
      <c r="E1441" s="997">
        <f t="shared" ref="E1441" si="176">E1442</f>
        <v>100911</v>
      </c>
    </row>
    <row r="1442" spans="1:5" ht="17.100000000000001" customHeight="1">
      <c r="A1442" s="812"/>
      <c r="B1442" s="1587"/>
      <c r="C1442" s="1698" t="s">
        <v>765</v>
      </c>
      <c r="D1442" s="1698"/>
      <c r="E1442" s="1132">
        <f>SUM(E1443:E1444)</f>
        <v>100911</v>
      </c>
    </row>
    <row r="1443" spans="1:5" ht="17.100000000000001" customHeight="1">
      <c r="A1443" s="812"/>
      <c r="B1443" s="1587"/>
      <c r="C1443" s="1044" t="s">
        <v>768</v>
      </c>
      <c r="D1443" s="1089" t="s">
        <v>769</v>
      </c>
      <c r="E1443" s="997">
        <v>10000</v>
      </c>
    </row>
    <row r="1444" spans="1:5" ht="17.100000000000001" customHeight="1">
      <c r="A1444" s="812"/>
      <c r="B1444" s="1587"/>
      <c r="C1444" s="1029" t="s">
        <v>517</v>
      </c>
      <c r="D1444" s="1030" t="s">
        <v>778</v>
      </c>
      <c r="E1444" s="997">
        <f>75911+15000</f>
        <v>90911</v>
      </c>
    </row>
    <row r="1445" spans="1:5" ht="17.100000000000001" customHeight="1">
      <c r="A1445" s="812"/>
      <c r="B1445" s="837"/>
      <c r="C1445" s="1105"/>
      <c r="D1445" s="1089"/>
      <c r="E1445" s="997"/>
    </row>
    <row r="1446" spans="1:5" ht="17.100000000000001" customHeight="1">
      <c r="A1446" s="812"/>
      <c r="B1446" s="837"/>
      <c r="C1446" s="1694" t="s">
        <v>815</v>
      </c>
      <c r="D1446" s="1694"/>
      <c r="E1446" s="1133">
        <f>E1447</f>
        <v>5000</v>
      </c>
    </row>
    <row r="1447" spans="1:5" ht="39.75" customHeight="1" thickBot="1">
      <c r="A1447" s="812"/>
      <c r="B1447" s="837"/>
      <c r="C1447" s="1134" t="s">
        <v>827</v>
      </c>
      <c r="D1447" s="1135" t="s">
        <v>828</v>
      </c>
      <c r="E1447" s="997">
        <v>5000</v>
      </c>
    </row>
    <row r="1448" spans="1:5" ht="24.75" customHeight="1" thickBot="1">
      <c r="A1448" s="812"/>
      <c r="B1448" s="858" t="s">
        <v>996</v>
      </c>
      <c r="C1448" s="859"/>
      <c r="D1448" s="860" t="s">
        <v>731</v>
      </c>
      <c r="E1448" s="1136">
        <f>E1449+E1459</f>
        <v>635000</v>
      </c>
    </row>
    <row r="1449" spans="1:5" ht="17.100000000000001" customHeight="1">
      <c r="A1449" s="812"/>
      <c r="B1449" s="1587"/>
      <c r="C1449" s="1583" t="s">
        <v>753</v>
      </c>
      <c r="D1449" s="1583"/>
      <c r="E1449" s="1002">
        <f t="shared" ref="E1449" si="177">SUM(E1450)</f>
        <v>615000</v>
      </c>
    </row>
    <row r="1450" spans="1:5" ht="17.100000000000001" customHeight="1">
      <c r="A1450" s="812"/>
      <c r="B1450" s="1587"/>
      <c r="C1450" s="1711" t="s">
        <v>754</v>
      </c>
      <c r="D1450" s="1711"/>
      <c r="E1450" s="997">
        <f t="shared" ref="E1450" si="178">SUM(E1451,E1456)</f>
        <v>615000</v>
      </c>
    </row>
    <row r="1451" spans="1:5" ht="17.100000000000001" customHeight="1">
      <c r="A1451" s="812"/>
      <c r="B1451" s="1587"/>
      <c r="C1451" s="1717" t="s">
        <v>755</v>
      </c>
      <c r="D1451" s="1717"/>
      <c r="E1451" s="1132">
        <f t="shared" ref="E1451" si="179">SUM(E1452:E1454)</f>
        <v>600000</v>
      </c>
    </row>
    <row r="1452" spans="1:5" ht="17.100000000000001" customHeight="1">
      <c r="A1452" s="812"/>
      <c r="B1452" s="1587"/>
      <c r="C1452" s="1137" t="s">
        <v>538</v>
      </c>
      <c r="D1452" s="1138" t="s">
        <v>756</v>
      </c>
      <c r="E1452" s="997">
        <v>500710</v>
      </c>
    </row>
    <row r="1453" spans="1:5" ht="17.100000000000001" customHeight="1">
      <c r="A1453" s="812"/>
      <c r="B1453" s="1587"/>
      <c r="C1453" s="1029" t="s">
        <v>759</v>
      </c>
      <c r="D1453" s="1030" t="s">
        <v>760</v>
      </c>
      <c r="E1453" s="997">
        <v>87018</v>
      </c>
    </row>
    <row r="1454" spans="1:5" ht="17.100000000000001" customHeight="1">
      <c r="A1454" s="812"/>
      <c r="B1454" s="1587"/>
      <c r="C1454" s="1029" t="s">
        <v>761</v>
      </c>
      <c r="D1454" s="1030" t="s">
        <v>762</v>
      </c>
      <c r="E1454" s="997">
        <v>12272</v>
      </c>
    </row>
    <row r="1455" spans="1:5" ht="17.100000000000001" customHeight="1">
      <c r="A1455" s="812"/>
      <c r="B1455" s="1587"/>
      <c r="C1455" s="933"/>
      <c r="D1455" s="934"/>
      <c r="E1455" s="1139"/>
    </row>
    <row r="1456" spans="1:5" ht="17.100000000000001" customHeight="1">
      <c r="A1456" s="812"/>
      <c r="B1456" s="1587"/>
      <c r="C1456" s="1698" t="s">
        <v>765</v>
      </c>
      <c r="D1456" s="1698"/>
      <c r="E1456" s="1132">
        <f>E1457</f>
        <v>15000</v>
      </c>
    </row>
    <row r="1457" spans="1:5" ht="17.100000000000001" customHeight="1">
      <c r="A1457" s="812"/>
      <c r="B1457" s="1587"/>
      <c r="C1457" s="1029" t="s">
        <v>799</v>
      </c>
      <c r="D1457" s="1030" t="s">
        <v>800</v>
      </c>
      <c r="E1457" s="997">
        <v>15000</v>
      </c>
    </row>
    <row r="1458" spans="1:5" ht="17.100000000000001" customHeight="1">
      <c r="A1458" s="812"/>
      <c r="B1458" s="837"/>
      <c r="C1458" s="1029"/>
      <c r="D1458" s="1030"/>
      <c r="E1458" s="997"/>
    </row>
    <row r="1459" spans="1:5" ht="17.100000000000001" customHeight="1">
      <c r="A1459" s="812"/>
      <c r="B1459" s="837"/>
      <c r="C1459" s="1593" t="s">
        <v>804</v>
      </c>
      <c r="D1459" s="1593"/>
      <c r="E1459" s="1002">
        <f t="shared" ref="E1459" si="180">E1460</f>
        <v>20000</v>
      </c>
    </row>
    <row r="1460" spans="1:5" ht="17.100000000000001" customHeight="1">
      <c r="A1460" s="812"/>
      <c r="B1460" s="837"/>
      <c r="C1460" s="1697" t="s">
        <v>805</v>
      </c>
      <c r="D1460" s="1701"/>
      <c r="E1460" s="997">
        <f>SUM(E1461:E1461)</f>
        <v>20000</v>
      </c>
    </row>
    <row r="1461" spans="1:5" ht="17.100000000000001" customHeight="1" thickBot="1">
      <c r="A1461" s="812"/>
      <c r="B1461" s="837"/>
      <c r="C1461" s="829" t="s">
        <v>401</v>
      </c>
      <c r="D1461" s="1057" t="s">
        <v>819</v>
      </c>
      <c r="E1461" s="1133">
        <v>20000</v>
      </c>
    </row>
    <row r="1462" spans="1:5" ht="20.100000000000001" customHeight="1" thickBot="1">
      <c r="A1462" s="812"/>
      <c r="B1462" s="858" t="s">
        <v>997</v>
      </c>
      <c r="C1462" s="859"/>
      <c r="D1462" s="860" t="s">
        <v>733</v>
      </c>
      <c r="E1462" s="1001">
        <f t="shared" ref="E1462:E1463" si="181">E1463</f>
        <v>7000</v>
      </c>
    </row>
    <row r="1463" spans="1:5" ht="17.100000000000001" customHeight="1">
      <c r="A1463" s="812"/>
      <c r="B1463" s="1587"/>
      <c r="C1463" s="1583" t="s">
        <v>753</v>
      </c>
      <c r="D1463" s="1583"/>
      <c r="E1463" s="1002">
        <f t="shared" si="181"/>
        <v>7000</v>
      </c>
    </row>
    <row r="1464" spans="1:5" ht="12.75" customHeight="1">
      <c r="A1464" s="812"/>
      <c r="B1464" s="1587"/>
      <c r="C1464" s="1711" t="s">
        <v>754</v>
      </c>
      <c r="D1464" s="1711"/>
      <c r="E1464" s="997">
        <f>SUM(E1465)</f>
        <v>7000</v>
      </c>
    </row>
    <row r="1465" spans="1:5" ht="17.100000000000001" customHeight="1">
      <c r="A1465" s="812"/>
      <c r="B1465" s="1587"/>
      <c r="C1465" s="1709" t="s">
        <v>765</v>
      </c>
      <c r="D1465" s="1709"/>
      <c r="E1465" s="1140">
        <f t="shared" ref="E1465" si="182">E1466</f>
        <v>7000</v>
      </c>
    </row>
    <row r="1466" spans="1:5" ht="17.100000000000001" customHeight="1" thickBot="1">
      <c r="A1466" s="812"/>
      <c r="B1466" s="1587"/>
      <c r="C1466" s="965" t="s">
        <v>768</v>
      </c>
      <c r="D1466" s="966" t="s">
        <v>769</v>
      </c>
      <c r="E1466" s="1000">
        <v>7000</v>
      </c>
    </row>
    <row r="1467" spans="1:5" ht="24.75" customHeight="1" thickBot="1">
      <c r="A1467" s="812"/>
      <c r="B1467" s="858" t="s">
        <v>998</v>
      </c>
      <c r="C1467" s="859"/>
      <c r="D1467" s="860" t="s">
        <v>999</v>
      </c>
      <c r="E1467" s="1001">
        <f t="shared" ref="E1467:E1468" si="183">E1468</f>
        <v>1500</v>
      </c>
    </row>
    <row r="1468" spans="1:5" ht="17.100000000000001" customHeight="1">
      <c r="A1468" s="812"/>
      <c r="B1468" s="1642"/>
      <c r="C1468" s="1583" t="s">
        <v>753</v>
      </c>
      <c r="D1468" s="1583"/>
      <c r="E1468" s="1002">
        <f t="shared" si="183"/>
        <v>1500</v>
      </c>
    </row>
    <row r="1469" spans="1:5" ht="17.100000000000001" customHeight="1">
      <c r="A1469" s="812"/>
      <c r="B1469" s="1642"/>
      <c r="C1469" s="1711" t="s">
        <v>754</v>
      </c>
      <c r="D1469" s="1711"/>
      <c r="E1469" s="997">
        <f>SUM(E1470)</f>
        <v>1500</v>
      </c>
    </row>
    <row r="1470" spans="1:5" ht="17.100000000000001" customHeight="1">
      <c r="A1470" s="812"/>
      <c r="B1470" s="1642"/>
      <c r="C1470" s="1698" t="s">
        <v>765</v>
      </c>
      <c r="D1470" s="1698"/>
      <c r="E1470" s="1132">
        <f t="shared" ref="E1470" si="184">E1472+E1471</f>
        <v>1500</v>
      </c>
    </row>
    <row r="1471" spans="1:5" ht="17.100000000000001" hidden="1" customHeight="1">
      <c r="A1471" s="812"/>
      <c r="B1471" s="1642"/>
      <c r="C1471" s="1029" t="s">
        <v>768</v>
      </c>
      <c r="D1471" s="1030" t="s">
        <v>769</v>
      </c>
      <c r="E1471" s="997"/>
    </row>
    <row r="1472" spans="1:5" ht="17.100000000000001" customHeight="1" thickBot="1">
      <c r="A1472" s="812"/>
      <c r="B1472" s="1642"/>
      <c r="C1472" s="1096" t="s">
        <v>799</v>
      </c>
      <c r="D1472" s="1097" t="s">
        <v>800</v>
      </c>
      <c r="E1472" s="1133">
        <v>1500</v>
      </c>
    </row>
    <row r="1473" spans="1:5" ht="17.100000000000001" customHeight="1" thickBot="1">
      <c r="A1473" s="812"/>
      <c r="B1473" s="858" t="s">
        <v>1000</v>
      </c>
      <c r="C1473" s="859"/>
      <c r="D1473" s="860" t="s">
        <v>213</v>
      </c>
      <c r="E1473" s="1001">
        <f>E1474</f>
        <v>61800</v>
      </c>
    </row>
    <row r="1474" spans="1:5" ht="17.100000000000001" customHeight="1">
      <c r="A1474" s="812"/>
      <c r="B1474" s="1587"/>
      <c r="C1474" s="1583" t="s">
        <v>753</v>
      </c>
      <c r="D1474" s="1583"/>
      <c r="E1474" s="1002">
        <f t="shared" ref="E1474" si="185">E1475</f>
        <v>61800</v>
      </c>
    </row>
    <row r="1475" spans="1:5" ht="17.100000000000001" customHeight="1">
      <c r="A1475" s="812"/>
      <c r="B1475" s="1587"/>
      <c r="C1475" s="1711" t="s">
        <v>754</v>
      </c>
      <c r="D1475" s="1711"/>
      <c r="E1475" s="997">
        <f>E1477</f>
        <v>61800</v>
      </c>
    </row>
    <row r="1476" spans="1:5" ht="17.100000000000001" customHeight="1">
      <c r="A1476" s="812"/>
      <c r="B1476" s="1587"/>
      <c r="C1476" s="1141"/>
      <c r="D1476" s="1141"/>
      <c r="E1476" s="997"/>
    </row>
    <row r="1477" spans="1:5" ht="17.100000000000001" customHeight="1">
      <c r="A1477" s="812"/>
      <c r="B1477" s="1587"/>
      <c r="C1477" s="1722" t="s">
        <v>765</v>
      </c>
      <c r="D1477" s="1722"/>
      <c r="E1477" s="1132">
        <f>SUM(E1478:E1479)</f>
        <v>61800</v>
      </c>
    </row>
    <row r="1478" spans="1:5" ht="17.100000000000001" customHeight="1">
      <c r="A1478" s="812"/>
      <c r="B1478" s="1587"/>
      <c r="C1478" s="829" t="s">
        <v>517</v>
      </c>
      <c r="D1478" s="1097" t="s">
        <v>778</v>
      </c>
      <c r="E1478" s="1133">
        <v>33000</v>
      </c>
    </row>
    <row r="1479" spans="1:5" ht="17.100000000000001" customHeight="1" thickBot="1">
      <c r="A1479" s="812"/>
      <c r="B1479" s="1587"/>
      <c r="C1479" s="1029" t="s">
        <v>781</v>
      </c>
      <c r="D1479" s="1030" t="s">
        <v>782</v>
      </c>
      <c r="E1479" s="1142">
        <v>28800</v>
      </c>
    </row>
    <row r="1480" spans="1:5" ht="17.100000000000001" customHeight="1" thickBot="1">
      <c r="A1480" s="807" t="s">
        <v>10</v>
      </c>
      <c r="B1480" s="808"/>
      <c r="C1480" s="809"/>
      <c r="D1480" s="810" t="s">
        <v>1001</v>
      </c>
      <c r="E1480" s="811">
        <f>E1481+E1489+E1498+E1503+E1512+E1517+E1526+E1535+E1545+E1549</f>
        <v>74055613</v>
      </c>
    </row>
    <row r="1481" spans="1:5" ht="17.100000000000001" customHeight="1" thickBot="1">
      <c r="A1481" s="812"/>
      <c r="B1481" s="858" t="s">
        <v>137</v>
      </c>
      <c r="C1481" s="859"/>
      <c r="D1481" s="860" t="s">
        <v>1002</v>
      </c>
      <c r="E1481" s="861">
        <f t="shared" ref="E1481" si="186">E1482</f>
        <v>640000</v>
      </c>
    </row>
    <row r="1482" spans="1:5" ht="17.100000000000001" customHeight="1">
      <c r="A1482" s="812"/>
      <c r="B1482" s="1587"/>
      <c r="C1482" s="1583" t="s">
        <v>753</v>
      </c>
      <c r="D1482" s="1583"/>
      <c r="E1482" s="817">
        <f>E1483+E1486</f>
        <v>640000</v>
      </c>
    </row>
    <row r="1483" spans="1:5" ht="17.100000000000001" customHeight="1">
      <c r="A1483" s="812"/>
      <c r="B1483" s="1587"/>
      <c r="C1483" s="1695" t="s">
        <v>815</v>
      </c>
      <c r="D1483" s="1695"/>
      <c r="E1483" s="828">
        <f>SUM(E1484:E1484)</f>
        <v>500000</v>
      </c>
    </row>
    <row r="1484" spans="1:5" ht="42" customHeight="1">
      <c r="A1484" s="812"/>
      <c r="B1484" s="1587"/>
      <c r="C1484" s="1029" t="s">
        <v>827</v>
      </c>
      <c r="D1484" s="1030" t="s">
        <v>828</v>
      </c>
      <c r="E1484" s="828">
        <v>500000</v>
      </c>
    </row>
    <row r="1485" spans="1:5" ht="17.100000000000001" customHeight="1">
      <c r="A1485" s="812"/>
      <c r="B1485" s="1587"/>
      <c r="C1485" s="838"/>
      <c r="D1485" s="838"/>
      <c r="E1485" s="825"/>
    </row>
    <row r="1486" spans="1:5" ht="17.100000000000001" customHeight="1">
      <c r="A1486" s="812"/>
      <c r="B1486" s="1587"/>
      <c r="C1486" s="1697" t="s">
        <v>801</v>
      </c>
      <c r="D1486" s="1697"/>
      <c r="E1486" s="828">
        <f t="shared" ref="E1486" si="187">SUM(E1487:E1488)</f>
        <v>140000</v>
      </c>
    </row>
    <row r="1487" spans="1:5" ht="17.100000000000001" customHeight="1">
      <c r="A1487" s="812"/>
      <c r="B1487" s="1587"/>
      <c r="C1487" s="1029" t="s">
        <v>946</v>
      </c>
      <c r="D1487" s="1030" t="s">
        <v>947</v>
      </c>
      <c r="E1487" s="828">
        <v>120000</v>
      </c>
    </row>
    <row r="1488" spans="1:5" ht="17.100000000000001" customHeight="1" thickBot="1">
      <c r="A1488" s="812"/>
      <c r="B1488" s="1587"/>
      <c r="C1488" s="1096" t="s">
        <v>953</v>
      </c>
      <c r="D1488" s="1097" t="s">
        <v>954</v>
      </c>
      <c r="E1488" s="1031">
        <v>20000</v>
      </c>
    </row>
    <row r="1489" spans="1:5" ht="17.100000000000001" customHeight="1" thickBot="1">
      <c r="A1489" s="812"/>
      <c r="B1489" s="858" t="s">
        <v>1003</v>
      </c>
      <c r="C1489" s="859"/>
      <c r="D1489" s="860" t="s">
        <v>1004</v>
      </c>
      <c r="E1489" s="861">
        <f t="shared" ref="E1489" si="188">E1490+E1495</f>
        <v>6287000</v>
      </c>
    </row>
    <row r="1490" spans="1:5" ht="17.100000000000001" customHeight="1">
      <c r="A1490" s="812"/>
      <c r="B1490" s="1587"/>
      <c r="C1490" s="1583" t="s">
        <v>753</v>
      </c>
      <c r="D1490" s="1583"/>
      <c r="E1490" s="817">
        <f t="shared" ref="E1490" si="189">E1491</f>
        <v>5987000</v>
      </c>
    </row>
    <row r="1491" spans="1:5" ht="17.100000000000001" customHeight="1">
      <c r="A1491" s="812"/>
      <c r="B1491" s="1587"/>
      <c r="C1491" s="1695" t="s">
        <v>815</v>
      </c>
      <c r="D1491" s="1695"/>
      <c r="E1491" s="828">
        <f t="shared" ref="E1491" si="190">E1492+E1493</f>
        <v>5987000</v>
      </c>
    </row>
    <row r="1492" spans="1:5" ht="17.100000000000001" customHeight="1">
      <c r="A1492" s="812"/>
      <c r="B1492" s="1587"/>
      <c r="C1492" s="1029" t="s">
        <v>1005</v>
      </c>
      <c r="D1492" s="1030" t="s">
        <v>1006</v>
      </c>
      <c r="E1492" s="828">
        <v>5337000</v>
      </c>
    </row>
    <row r="1493" spans="1:5" ht="27.75" customHeight="1">
      <c r="A1493" s="812"/>
      <c r="B1493" s="1587"/>
      <c r="C1493" s="1029" t="s">
        <v>1007</v>
      </c>
      <c r="D1493" s="1030" t="s">
        <v>1008</v>
      </c>
      <c r="E1493" s="828">
        <v>650000</v>
      </c>
    </row>
    <row r="1494" spans="1:5">
      <c r="A1494" s="812"/>
      <c r="B1494" s="837"/>
      <c r="C1494" s="1029"/>
      <c r="D1494" s="1030"/>
      <c r="E1494" s="828"/>
    </row>
    <row r="1495" spans="1:5" ht="15">
      <c r="A1495" s="812"/>
      <c r="B1495" s="837"/>
      <c r="C1495" s="1702" t="s">
        <v>804</v>
      </c>
      <c r="D1495" s="1723"/>
      <c r="E1495" s="828">
        <f t="shared" ref="E1495:E1496" si="191">E1496</f>
        <v>300000</v>
      </c>
    </row>
    <row r="1496" spans="1:5" ht="15">
      <c r="A1496" s="812"/>
      <c r="B1496" s="837"/>
      <c r="C1496" s="1697" t="s">
        <v>805</v>
      </c>
      <c r="D1496" s="1724"/>
      <c r="E1496" s="828">
        <f t="shared" si="191"/>
        <v>300000</v>
      </c>
    </row>
    <row r="1497" spans="1:5" ht="27.75" customHeight="1" thickBot="1">
      <c r="A1497" s="812"/>
      <c r="B1497" s="837"/>
      <c r="C1497" s="1112" t="s">
        <v>960</v>
      </c>
      <c r="D1497" s="1143" t="s">
        <v>961</v>
      </c>
      <c r="E1497" s="1031">
        <v>300000</v>
      </c>
    </row>
    <row r="1498" spans="1:5" ht="17.100000000000001" customHeight="1" thickBot="1">
      <c r="A1498" s="812"/>
      <c r="B1498" s="858" t="s">
        <v>1009</v>
      </c>
      <c r="C1498" s="859"/>
      <c r="D1498" s="860" t="s">
        <v>1010</v>
      </c>
      <c r="E1498" s="861">
        <f>E1499</f>
        <v>6996500</v>
      </c>
    </row>
    <row r="1499" spans="1:5" ht="17.100000000000001" customHeight="1">
      <c r="A1499" s="812"/>
      <c r="B1499" s="1587"/>
      <c r="C1499" s="1583" t="s">
        <v>753</v>
      </c>
      <c r="D1499" s="1583"/>
      <c r="E1499" s="817">
        <f t="shared" ref="E1499" si="192">E1500</f>
        <v>6996500</v>
      </c>
    </row>
    <row r="1500" spans="1:5" ht="17.100000000000001" customHeight="1">
      <c r="A1500" s="812"/>
      <c r="B1500" s="1587"/>
      <c r="C1500" s="1695" t="s">
        <v>815</v>
      </c>
      <c r="D1500" s="1695"/>
      <c r="E1500" s="828">
        <f t="shared" ref="E1500" si="193">SUM(E1501:E1502)</f>
        <v>6996500</v>
      </c>
    </row>
    <row r="1501" spans="1:5" ht="17.100000000000001" customHeight="1">
      <c r="A1501" s="812"/>
      <c r="B1501" s="1587"/>
      <c r="C1501" s="1029" t="s">
        <v>1005</v>
      </c>
      <c r="D1501" s="1030" t="s">
        <v>1006</v>
      </c>
      <c r="E1501" s="828">
        <v>6446500</v>
      </c>
    </row>
    <row r="1502" spans="1:5" ht="28.5" customHeight="1" thickBot="1">
      <c r="A1502" s="812"/>
      <c r="B1502" s="820"/>
      <c r="C1502" s="1029" t="s">
        <v>1007</v>
      </c>
      <c r="D1502" s="1030" t="s">
        <v>1008</v>
      </c>
      <c r="E1502" s="828">
        <v>550000</v>
      </c>
    </row>
    <row r="1503" spans="1:5" ht="17.100000000000001" customHeight="1" thickBot="1">
      <c r="A1503" s="812"/>
      <c r="B1503" s="858" t="s">
        <v>1011</v>
      </c>
      <c r="C1503" s="859"/>
      <c r="D1503" s="860" t="s">
        <v>1012</v>
      </c>
      <c r="E1503" s="861">
        <f>E1504+E1509</f>
        <v>8228726</v>
      </c>
    </row>
    <row r="1504" spans="1:5" ht="17.100000000000001" customHeight="1">
      <c r="A1504" s="812"/>
      <c r="B1504" s="1587"/>
      <c r="C1504" s="1583" t="s">
        <v>753</v>
      </c>
      <c r="D1504" s="1583"/>
      <c r="E1504" s="817">
        <f t="shared" ref="E1504" si="194">E1505</f>
        <v>7048500</v>
      </c>
    </row>
    <row r="1505" spans="1:5" ht="17.100000000000001" customHeight="1">
      <c r="A1505" s="812"/>
      <c r="B1505" s="1587"/>
      <c r="C1505" s="1695" t="s">
        <v>815</v>
      </c>
      <c r="D1505" s="1695"/>
      <c r="E1505" s="828">
        <f>SUM(E1506:E1507)</f>
        <v>7048500</v>
      </c>
    </row>
    <row r="1506" spans="1:5" ht="17.100000000000001" customHeight="1">
      <c r="A1506" s="812"/>
      <c r="B1506" s="1587"/>
      <c r="C1506" s="1029" t="s">
        <v>1005</v>
      </c>
      <c r="D1506" s="1030" t="s">
        <v>1006</v>
      </c>
      <c r="E1506" s="828">
        <v>6664500</v>
      </c>
    </row>
    <row r="1507" spans="1:5" ht="24.75" customHeight="1">
      <c r="A1507" s="812"/>
      <c r="B1507" s="1587"/>
      <c r="C1507" s="1029" t="s">
        <v>1007</v>
      </c>
      <c r="D1507" s="1030" t="s">
        <v>1008</v>
      </c>
      <c r="E1507" s="828">
        <v>384000</v>
      </c>
    </row>
    <row r="1508" spans="1:5" ht="15">
      <c r="A1508" s="812"/>
      <c r="B1508" s="1587"/>
      <c r="C1508" s="838"/>
      <c r="D1508" s="842"/>
      <c r="E1508" s="843"/>
    </row>
    <row r="1509" spans="1:5" ht="15">
      <c r="A1509" s="812"/>
      <c r="B1509" s="1587"/>
      <c r="C1509" s="1702" t="s">
        <v>804</v>
      </c>
      <c r="D1509" s="1723"/>
      <c r="E1509" s="832">
        <f t="shared" ref="E1509" si="195">E1510</f>
        <v>1180226</v>
      </c>
    </row>
    <row r="1510" spans="1:5" ht="15">
      <c r="A1510" s="812"/>
      <c r="B1510" s="1587"/>
      <c r="C1510" s="1697" t="s">
        <v>805</v>
      </c>
      <c r="D1510" s="1724"/>
      <c r="E1510" s="828">
        <f>SUM(E1511:E1511)</f>
        <v>1180226</v>
      </c>
    </row>
    <row r="1511" spans="1:5" ht="39" thickBot="1">
      <c r="A1511" s="812"/>
      <c r="B1511" s="1587"/>
      <c r="C1511" s="1105" t="s">
        <v>960</v>
      </c>
      <c r="D1511" s="1144" t="s">
        <v>961</v>
      </c>
      <c r="E1511" s="828">
        <v>1180226</v>
      </c>
    </row>
    <row r="1512" spans="1:5" ht="17.100000000000001" customHeight="1" thickBot="1">
      <c r="A1512" s="812"/>
      <c r="B1512" s="858" t="s">
        <v>1013</v>
      </c>
      <c r="C1512" s="859"/>
      <c r="D1512" s="860" t="s">
        <v>1014</v>
      </c>
      <c r="E1512" s="861">
        <f t="shared" ref="E1512:E1513" si="196">E1513</f>
        <v>616000</v>
      </c>
    </row>
    <row r="1513" spans="1:5" ht="17.100000000000001" customHeight="1">
      <c r="A1513" s="812"/>
      <c r="B1513" s="1587"/>
      <c r="C1513" s="1583" t="s">
        <v>753</v>
      </c>
      <c r="D1513" s="1583"/>
      <c r="E1513" s="817">
        <f t="shared" si="196"/>
        <v>616000</v>
      </c>
    </row>
    <row r="1514" spans="1:5" ht="17.100000000000001" customHeight="1">
      <c r="A1514" s="812"/>
      <c r="B1514" s="1587"/>
      <c r="C1514" s="1695" t="s">
        <v>815</v>
      </c>
      <c r="D1514" s="1695"/>
      <c r="E1514" s="828">
        <f t="shared" ref="E1514" si="197">E1515+E1516</f>
        <v>616000</v>
      </c>
    </row>
    <row r="1515" spans="1:5" ht="17.100000000000001" customHeight="1">
      <c r="A1515" s="812"/>
      <c r="B1515" s="1587"/>
      <c r="C1515" s="1029" t="s">
        <v>1005</v>
      </c>
      <c r="D1515" s="1030" t="s">
        <v>1006</v>
      </c>
      <c r="E1515" s="828">
        <v>556000</v>
      </c>
    </row>
    <row r="1516" spans="1:5" ht="27" customHeight="1" thickBot="1">
      <c r="A1516" s="812"/>
      <c r="B1516" s="1587"/>
      <c r="C1516" s="1096" t="s">
        <v>1007</v>
      </c>
      <c r="D1516" s="1097" t="s">
        <v>1008</v>
      </c>
      <c r="E1516" s="1031">
        <v>60000</v>
      </c>
    </row>
    <row r="1517" spans="1:5" ht="17.100000000000001" customHeight="1" thickBot="1">
      <c r="A1517" s="812"/>
      <c r="B1517" s="858" t="s">
        <v>1015</v>
      </c>
      <c r="C1517" s="859"/>
      <c r="D1517" s="860" t="s">
        <v>1016</v>
      </c>
      <c r="E1517" s="861">
        <f t="shared" ref="E1517" si="198">E1518+E1523</f>
        <v>2186576</v>
      </c>
    </row>
    <row r="1518" spans="1:5" ht="17.100000000000001" customHeight="1">
      <c r="A1518" s="812"/>
      <c r="B1518" s="1691"/>
      <c r="C1518" s="1692" t="s">
        <v>753</v>
      </c>
      <c r="D1518" s="1692"/>
      <c r="E1518" s="1078">
        <f t="shared" ref="E1518" si="199">E1519</f>
        <v>1539476</v>
      </c>
    </row>
    <row r="1519" spans="1:5" ht="17.100000000000001" customHeight="1">
      <c r="A1519" s="812"/>
      <c r="B1519" s="1587"/>
      <c r="C1519" s="1695" t="s">
        <v>815</v>
      </c>
      <c r="D1519" s="1695"/>
      <c r="E1519" s="828">
        <f t="shared" ref="E1519" si="200">SUM(E1520:E1521)</f>
        <v>1539476</v>
      </c>
    </row>
    <row r="1520" spans="1:5" ht="17.100000000000001" customHeight="1">
      <c r="A1520" s="812"/>
      <c r="B1520" s="1587"/>
      <c r="C1520" s="1029" t="s">
        <v>1005</v>
      </c>
      <c r="D1520" s="1030" t="s">
        <v>1006</v>
      </c>
      <c r="E1520" s="828">
        <v>1510000</v>
      </c>
    </row>
    <row r="1521" spans="1:5" ht="25.5">
      <c r="A1521" s="812"/>
      <c r="B1521" s="1587"/>
      <c r="C1521" s="1096" t="s">
        <v>1007</v>
      </c>
      <c r="D1521" s="1097" t="s">
        <v>1008</v>
      </c>
      <c r="E1521" s="1031">
        <v>29476</v>
      </c>
    </row>
    <row r="1522" spans="1:5">
      <c r="A1522" s="812"/>
      <c r="B1522" s="1587"/>
      <c r="C1522" s="1102"/>
      <c r="D1522" s="1038"/>
      <c r="E1522" s="847"/>
    </row>
    <row r="1523" spans="1:5">
      <c r="A1523" s="812"/>
      <c r="B1523" s="1587"/>
      <c r="C1523" s="1593" t="s">
        <v>804</v>
      </c>
      <c r="D1523" s="1593"/>
      <c r="E1523" s="817">
        <f t="shared" ref="E1523:E1524" si="201">E1524</f>
        <v>647100</v>
      </c>
    </row>
    <row r="1524" spans="1:5">
      <c r="A1524" s="812"/>
      <c r="B1524" s="1587"/>
      <c r="C1524" s="1697" t="s">
        <v>860</v>
      </c>
      <c r="D1524" s="1697"/>
      <c r="E1524" s="828">
        <f t="shared" si="201"/>
        <v>647100</v>
      </c>
    </row>
    <row r="1525" spans="1:5" ht="39" thickBot="1">
      <c r="A1525" s="812"/>
      <c r="B1525" s="1673"/>
      <c r="C1525" s="1145" t="s">
        <v>960</v>
      </c>
      <c r="D1525" s="1082" t="s">
        <v>961</v>
      </c>
      <c r="E1525" s="835">
        <v>647100</v>
      </c>
    </row>
    <row r="1526" spans="1:5" ht="17.100000000000001" customHeight="1" thickBot="1">
      <c r="A1526" s="812"/>
      <c r="B1526" s="858" t="s">
        <v>11</v>
      </c>
      <c r="C1526" s="859"/>
      <c r="D1526" s="860" t="s">
        <v>12</v>
      </c>
      <c r="E1526" s="861">
        <f>SUM(E1527+E1532)</f>
        <v>7812306</v>
      </c>
    </row>
    <row r="1527" spans="1:5" ht="17.100000000000001" customHeight="1">
      <c r="A1527" s="812"/>
      <c r="B1527" s="1587"/>
      <c r="C1527" s="1583" t="s">
        <v>753</v>
      </c>
      <c r="D1527" s="1583"/>
      <c r="E1527" s="817">
        <f t="shared" ref="E1527" si="202">E1528</f>
        <v>7604016</v>
      </c>
    </row>
    <row r="1528" spans="1:5" ht="17.100000000000001" customHeight="1">
      <c r="A1528" s="812"/>
      <c r="B1528" s="1587"/>
      <c r="C1528" s="1695" t="s">
        <v>815</v>
      </c>
      <c r="D1528" s="1695"/>
      <c r="E1528" s="828">
        <f t="shared" ref="E1528" si="203">SUM(E1529:E1530)</f>
        <v>7604016</v>
      </c>
    </row>
    <row r="1529" spans="1:5" ht="17.100000000000001" customHeight="1">
      <c r="A1529" s="812"/>
      <c r="B1529" s="1587"/>
      <c r="C1529" s="1029" t="s">
        <v>1005</v>
      </c>
      <c r="D1529" s="1030" t="s">
        <v>1006</v>
      </c>
      <c r="E1529" s="828">
        <v>7501016</v>
      </c>
    </row>
    <row r="1530" spans="1:5" ht="25.5">
      <c r="A1530" s="812"/>
      <c r="B1530" s="1587"/>
      <c r="C1530" s="1096" t="s">
        <v>1007</v>
      </c>
      <c r="D1530" s="1097" t="s">
        <v>1008</v>
      </c>
      <c r="E1530" s="1031">
        <v>103000</v>
      </c>
    </row>
    <row r="1531" spans="1:5">
      <c r="A1531" s="812"/>
      <c r="B1531" s="837"/>
      <c r="C1531" s="1725"/>
      <c r="D1531" s="1726"/>
      <c r="E1531" s="1099"/>
    </row>
    <row r="1532" spans="1:5">
      <c r="A1532" s="812"/>
      <c r="B1532" s="837"/>
      <c r="C1532" s="1593" t="s">
        <v>804</v>
      </c>
      <c r="D1532" s="1593"/>
      <c r="E1532" s="817">
        <f>E1533</f>
        <v>208290</v>
      </c>
    </row>
    <row r="1533" spans="1:5">
      <c r="A1533" s="812"/>
      <c r="B1533" s="837"/>
      <c r="C1533" s="1697" t="s">
        <v>860</v>
      </c>
      <c r="D1533" s="1697"/>
      <c r="E1533" s="828">
        <f t="shared" ref="E1533" si="204">E1534</f>
        <v>208290</v>
      </c>
    </row>
    <row r="1534" spans="1:5" ht="39" thickBot="1">
      <c r="A1534" s="812"/>
      <c r="B1534" s="837"/>
      <c r="C1534" s="1096" t="s">
        <v>960</v>
      </c>
      <c r="D1534" s="1097" t="s">
        <v>961</v>
      </c>
      <c r="E1534" s="1031">
        <v>208290</v>
      </c>
    </row>
    <row r="1535" spans="1:5" ht="17.100000000000001" customHeight="1" thickBot="1">
      <c r="A1535" s="812"/>
      <c r="B1535" s="858" t="s">
        <v>112</v>
      </c>
      <c r="C1535" s="859"/>
      <c r="D1535" s="860" t="s">
        <v>114</v>
      </c>
      <c r="E1535" s="861">
        <f t="shared" ref="E1535" si="205">E1536+E1542</f>
        <v>30477474</v>
      </c>
    </row>
    <row r="1536" spans="1:5" ht="17.100000000000001" customHeight="1">
      <c r="A1536" s="812"/>
      <c r="B1536" s="1587"/>
      <c r="C1536" s="1583" t="s">
        <v>753</v>
      </c>
      <c r="D1536" s="1583"/>
      <c r="E1536" s="817">
        <f t="shared" ref="E1536" si="206">E1537</f>
        <v>26209297</v>
      </c>
    </row>
    <row r="1537" spans="1:5" ht="17.100000000000001" customHeight="1">
      <c r="A1537" s="812"/>
      <c r="B1537" s="1587"/>
      <c r="C1537" s="1695" t="s">
        <v>815</v>
      </c>
      <c r="D1537" s="1695"/>
      <c r="E1537" s="828">
        <f t="shared" ref="E1537" si="207">SUM(E1538:E1540)</f>
        <v>26209297</v>
      </c>
    </row>
    <row r="1538" spans="1:5" ht="17.100000000000001" customHeight="1">
      <c r="A1538" s="812"/>
      <c r="B1538" s="1587"/>
      <c r="C1538" s="1029" t="s">
        <v>1005</v>
      </c>
      <c r="D1538" s="1030" t="s">
        <v>1006</v>
      </c>
      <c r="E1538" s="828">
        <v>22182598</v>
      </c>
    </row>
    <row r="1539" spans="1:5" ht="29.25" customHeight="1">
      <c r="A1539" s="812"/>
      <c r="B1539" s="837"/>
      <c r="C1539" s="1029" t="s">
        <v>846</v>
      </c>
      <c r="D1539" s="1030" t="s">
        <v>1017</v>
      </c>
      <c r="E1539" s="828">
        <f>500000+100000</f>
        <v>600000</v>
      </c>
    </row>
    <row r="1540" spans="1:5" ht="24.75" customHeight="1">
      <c r="A1540" s="812"/>
      <c r="B1540" s="820"/>
      <c r="C1540" s="1029" t="s">
        <v>1007</v>
      </c>
      <c r="D1540" s="1030" t="s">
        <v>1008</v>
      </c>
      <c r="E1540" s="828">
        <v>3426699</v>
      </c>
    </row>
    <row r="1541" spans="1:5" ht="17.100000000000001" customHeight="1">
      <c r="A1541" s="812"/>
      <c r="B1541" s="820"/>
      <c r="C1541" s="838"/>
      <c r="D1541" s="838"/>
      <c r="E1541" s="825"/>
    </row>
    <row r="1542" spans="1:5" ht="17.100000000000001" customHeight="1">
      <c r="A1542" s="812"/>
      <c r="B1542" s="820"/>
      <c r="C1542" s="1702" t="s">
        <v>804</v>
      </c>
      <c r="D1542" s="1702"/>
      <c r="E1542" s="832">
        <f t="shared" ref="E1542:E1543" si="208">E1543</f>
        <v>4268177</v>
      </c>
    </row>
    <row r="1543" spans="1:5" ht="17.100000000000001" customHeight="1">
      <c r="A1543" s="812"/>
      <c r="B1543" s="820"/>
      <c r="C1543" s="1697" t="s">
        <v>805</v>
      </c>
      <c r="D1543" s="1697"/>
      <c r="E1543" s="828">
        <f t="shared" si="208"/>
        <v>4268177</v>
      </c>
    </row>
    <row r="1544" spans="1:5" ht="27.75" customHeight="1" thickBot="1">
      <c r="A1544" s="812"/>
      <c r="B1544" s="820"/>
      <c r="C1544" s="1096" t="s">
        <v>960</v>
      </c>
      <c r="D1544" s="1097" t="s">
        <v>961</v>
      </c>
      <c r="E1544" s="1031">
        <f>2317506+1950671</f>
        <v>4268177</v>
      </c>
    </row>
    <row r="1545" spans="1:5" ht="17.100000000000001" customHeight="1" thickBot="1">
      <c r="A1545" s="812"/>
      <c r="B1545" s="858" t="s">
        <v>138</v>
      </c>
      <c r="C1545" s="859"/>
      <c r="D1545" s="860" t="s">
        <v>1018</v>
      </c>
      <c r="E1545" s="861">
        <f t="shared" ref="E1545" si="209">SUM(E1546)</f>
        <v>4000000</v>
      </c>
    </row>
    <row r="1546" spans="1:5" ht="17.100000000000001" customHeight="1">
      <c r="A1546" s="812"/>
      <c r="B1546" s="1587"/>
      <c r="C1546" s="1583" t="s">
        <v>753</v>
      </c>
      <c r="D1546" s="1583"/>
      <c r="E1546" s="817">
        <f t="shared" ref="E1546" si="210">E1547</f>
        <v>4000000</v>
      </c>
    </row>
    <row r="1547" spans="1:5" ht="17.100000000000001" customHeight="1">
      <c r="A1547" s="812"/>
      <c r="B1547" s="1587"/>
      <c r="C1547" s="1695" t="s">
        <v>815</v>
      </c>
      <c r="D1547" s="1695"/>
      <c r="E1547" s="828">
        <f>SUM(E1548:E1548)</f>
        <v>4000000</v>
      </c>
    </row>
    <row r="1548" spans="1:5" ht="38.25" customHeight="1" thickBot="1">
      <c r="A1548" s="812"/>
      <c r="B1548" s="820"/>
      <c r="C1548" s="1029" t="s">
        <v>1019</v>
      </c>
      <c r="D1548" s="1030" t="s">
        <v>1020</v>
      </c>
      <c r="E1548" s="828">
        <v>4000000</v>
      </c>
    </row>
    <row r="1549" spans="1:5" ht="17.100000000000001" customHeight="1" thickBot="1">
      <c r="A1549" s="812"/>
      <c r="B1549" s="858" t="s">
        <v>212</v>
      </c>
      <c r="C1549" s="859"/>
      <c r="D1549" s="860" t="s">
        <v>213</v>
      </c>
      <c r="E1549" s="861">
        <f>E1550+E1581</f>
        <v>6811031</v>
      </c>
    </row>
    <row r="1550" spans="1:5" ht="17.100000000000001" customHeight="1">
      <c r="A1550" s="812"/>
      <c r="B1550" s="1727"/>
      <c r="C1550" s="1593" t="s">
        <v>753</v>
      </c>
      <c r="D1550" s="1593"/>
      <c r="E1550" s="817">
        <f>E1551+E1561</f>
        <v>840700</v>
      </c>
    </row>
    <row r="1551" spans="1:5" ht="17.100000000000001" customHeight="1">
      <c r="A1551" s="812"/>
      <c r="B1551" s="1727"/>
      <c r="C1551" s="1695" t="s">
        <v>754</v>
      </c>
      <c r="D1551" s="1695"/>
      <c r="E1551" s="828">
        <f t="shared" ref="E1551" si="211">SUM(E1552,E1557)</f>
        <v>590000</v>
      </c>
    </row>
    <row r="1552" spans="1:5" ht="17.100000000000001" customHeight="1">
      <c r="A1552" s="812"/>
      <c r="B1552" s="1727"/>
      <c r="C1552" s="1717" t="s">
        <v>755</v>
      </c>
      <c r="D1552" s="1717"/>
      <c r="E1552" s="828">
        <f t="shared" ref="E1552" si="212">SUM(E1553:E1555)</f>
        <v>50000</v>
      </c>
    </row>
    <row r="1553" spans="1:5" ht="17.100000000000001" customHeight="1">
      <c r="A1553" s="812"/>
      <c r="B1553" s="1727"/>
      <c r="C1553" s="1029" t="s">
        <v>759</v>
      </c>
      <c r="D1553" s="1030" t="s">
        <v>760</v>
      </c>
      <c r="E1553" s="828">
        <v>3810</v>
      </c>
    </row>
    <row r="1554" spans="1:5" ht="17.100000000000001" customHeight="1">
      <c r="A1554" s="812"/>
      <c r="B1554" s="1727"/>
      <c r="C1554" s="1029" t="s">
        <v>761</v>
      </c>
      <c r="D1554" s="1030" t="s">
        <v>762</v>
      </c>
      <c r="E1554" s="828">
        <v>390</v>
      </c>
    </row>
    <row r="1555" spans="1:5" ht="17.100000000000001" customHeight="1">
      <c r="A1555" s="812"/>
      <c r="B1555" s="1727"/>
      <c r="C1555" s="1029" t="s">
        <v>763</v>
      </c>
      <c r="D1555" s="1030" t="s">
        <v>764</v>
      </c>
      <c r="E1555" s="828">
        <v>45800</v>
      </c>
    </row>
    <row r="1556" spans="1:5" ht="17.100000000000001" customHeight="1">
      <c r="A1556" s="812"/>
      <c r="B1556" s="1727"/>
      <c r="C1556" s="1086"/>
      <c r="D1556" s="1086"/>
      <c r="E1556" s="828"/>
    </row>
    <row r="1557" spans="1:5" ht="17.100000000000001" customHeight="1">
      <c r="A1557" s="812"/>
      <c r="B1557" s="1727"/>
      <c r="C1557" s="1698" t="s">
        <v>765</v>
      </c>
      <c r="D1557" s="1698"/>
      <c r="E1557" s="828">
        <f t="shared" ref="E1557" si="213">SUM(E1558:E1559)</f>
        <v>540000</v>
      </c>
    </row>
    <row r="1558" spans="1:5" ht="17.100000000000001" customHeight="1">
      <c r="A1558" s="812"/>
      <c r="B1558" s="1727"/>
      <c r="C1558" s="1029" t="s">
        <v>768</v>
      </c>
      <c r="D1558" s="1030" t="s">
        <v>769</v>
      </c>
      <c r="E1558" s="828">
        <v>7000</v>
      </c>
    </row>
    <row r="1559" spans="1:5" ht="17.100000000000001" customHeight="1">
      <c r="A1559" s="812"/>
      <c r="B1559" s="1727"/>
      <c r="C1559" s="1029" t="s">
        <v>517</v>
      </c>
      <c r="D1559" s="1030" t="s">
        <v>778</v>
      </c>
      <c r="E1559" s="828">
        <v>533000</v>
      </c>
    </row>
    <row r="1560" spans="1:5" ht="17.100000000000001" customHeight="1">
      <c r="A1560" s="812"/>
      <c r="B1560" s="1146"/>
      <c r="C1560" s="1105"/>
      <c r="D1560" s="1089"/>
      <c r="E1560" s="828"/>
    </row>
    <row r="1561" spans="1:5" ht="17.100000000000001" customHeight="1">
      <c r="A1561" s="812"/>
      <c r="B1561" s="1146"/>
      <c r="C1561" s="1695" t="s">
        <v>813</v>
      </c>
      <c r="D1561" s="1695"/>
      <c r="E1561" s="828">
        <f>SUM(E1562:E1579)</f>
        <v>250700</v>
      </c>
    </row>
    <row r="1562" spans="1:5" ht="17.100000000000001" customHeight="1">
      <c r="A1562" s="812"/>
      <c r="B1562" s="1146"/>
      <c r="C1562" s="1029" t="s">
        <v>356</v>
      </c>
      <c r="D1562" s="958" t="s">
        <v>885</v>
      </c>
      <c r="E1562" s="828">
        <v>2890</v>
      </c>
    </row>
    <row r="1563" spans="1:5" ht="17.100000000000001" customHeight="1">
      <c r="A1563" s="812"/>
      <c r="B1563" s="1146"/>
      <c r="C1563" s="1029" t="s">
        <v>357</v>
      </c>
      <c r="D1563" s="958" t="s">
        <v>885</v>
      </c>
      <c r="E1563" s="828">
        <v>510</v>
      </c>
    </row>
    <row r="1564" spans="1:5" ht="17.100000000000001" customHeight="1">
      <c r="A1564" s="812"/>
      <c r="B1564" s="1146"/>
      <c r="C1564" s="1029" t="s">
        <v>362</v>
      </c>
      <c r="D1564" s="1030" t="s">
        <v>756</v>
      </c>
      <c r="E1564" s="828">
        <v>89250</v>
      </c>
    </row>
    <row r="1565" spans="1:5" ht="17.100000000000001" customHeight="1">
      <c r="A1565" s="812"/>
      <c r="B1565" s="1146"/>
      <c r="C1565" s="1029" t="s">
        <v>363</v>
      </c>
      <c r="D1565" s="1030" t="s">
        <v>756</v>
      </c>
      <c r="E1565" s="828">
        <v>15750</v>
      </c>
    </row>
    <row r="1566" spans="1:5" ht="17.100000000000001" customHeight="1">
      <c r="A1566" s="812"/>
      <c r="B1566" s="1146"/>
      <c r="C1566" s="1029" t="s">
        <v>336</v>
      </c>
      <c r="D1566" s="1030" t="s">
        <v>760</v>
      </c>
      <c r="E1566" s="828">
        <v>16235</v>
      </c>
    </row>
    <row r="1567" spans="1:5" ht="17.100000000000001" customHeight="1">
      <c r="A1567" s="812"/>
      <c r="B1567" s="1146"/>
      <c r="C1567" s="1029" t="s">
        <v>337</v>
      </c>
      <c r="D1567" s="1030" t="s">
        <v>760</v>
      </c>
      <c r="E1567" s="828">
        <v>2865</v>
      </c>
    </row>
    <row r="1568" spans="1:5" ht="17.100000000000001" customHeight="1">
      <c r="A1568" s="812"/>
      <c r="B1568" s="1146"/>
      <c r="C1568" s="1029" t="s">
        <v>366</v>
      </c>
      <c r="D1568" s="1030" t="s">
        <v>762</v>
      </c>
      <c r="E1568" s="828">
        <v>1700</v>
      </c>
    </row>
    <row r="1569" spans="1:5" ht="17.100000000000001" customHeight="1">
      <c r="A1569" s="812"/>
      <c r="B1569" s="1146"/>
      <c r="C1569" s="1029" t="s">
        <v>367</v>
      </c>
      <c r="D1569" s="1030" t="s">
        <v>762</v>
      </c>
      <c r="E1569" s="828">
        <v>300</v>
      </c>
    </row>
    <row r="1570" spans="1:5" ht="17.100000000000001" customHeight="1">
      <c r="A1570" s="812"/>
      <c r="B1570" s="1146"/>
      <c r="C1570" s="1029" t="s">
        <v>338</v>
      </c>
      <c r="D1570" s="1030" t="s">
        <v>764</v>
      </c>
      <c r="E1570" s="828">
        <v>10795</v>
      </c>
    </row>
    <row r="1571" spans="1:5" ht="17.100000000000001" customHeight="1">
      <c r="A1571" s="812"/>
      <c r="B1571" s="1146"/>
      <c r="C1571" s="1029" t="s">
        <v>339</v>
      </c>
      <c r="D1571" s="1030" t="s">
        <v>764</v>
      </c>
      <c r="E1571" s="828">
        <v>1905</v>
      </c>
    </row>
    <row r="1572" spans="1:5" ht="17.100000000000001" customHeight="1">
      <c r="A1572" s="812"/>
      <c r="B1572" s="1146"/>
      <c r="C1572" s="1029" t="s">
        <v>341</v>
      </c>
      <c r="D1572" s="1030" t="s">
        <v>769</v>
      </c>
      <c r="E1572" s="828">
        <v>5525</v>
      </c>
    </row>
    <row r="1573" spans="1:5" ht="17.100000000000001" customHeight="1">
      <c r="A1573" s="812"/>
      <c r="B1573" s="1146"/>
      <c r="C1573" s="1029" t="s">
        <v>342</v>
      </c>
      <c r="D1573" s="1030" t="s">
        <v>769</v>
      </c>
      <c r="E1573" s="828">
        <v>975</v>
      </c>
    </row>
    <row r="1574" spans="1:5" ht="17.100000000000001" customHeight="1">
      <c r="A1574" s="812"/>
      <c r="B1574" s="1146"/>
      <c r="C1574" s="1029" t="s">
        <v>343</v>
      </c>
      <c r="D1574" s="1030" t="s">
        <v>778</v>
      </c>
      <c r="E1574" s="828">
        <v>53125</v>
      </c>
    </row>
    <row r="1575" spans="1:5" ht="17.100000000000001" customHeight="1">
      <c r="A1575" s="812"/>
      <c r="B1575" s="1146"/>
      <c r="C1575" s="1029" t="s">
        <v>344</v>
      </c>
      <c r="D1575" s="1030" t="s">
        <v>778</v>
      </c>
      <c r="E1575" s="828">
        <v>9375</v>
      </c>
    </row>
    <row r="1576" spans="1:5" ht="17.100000000000001" customHeight="1">
      <c r="A1576" s="812"/>
      <c r="B1576" s="1146"/>
      <c r="C1576" s="1029" t="s">
        <v>345</v>
      </c>
      <c r="D1576" s="1030" t="s">
        <v>786</v>
      </c>
      <c r="E1576" s="828">
        <v>2975</v>
      </c>
    </row>
    <row r="1577" spans="1:5" ht="17.100000000000001" customHeight="1">
      <c r="A1577" s="812"/>
      <c r="B1577" s="1146"/>
      <c r="C1577" s="1029" t="s">
        <v>346</v>
      </c>
      <c r="D1577" s="1030" t="s">
        <v>786</v>
      </c>
      <c r="E1577" s="828">
        <v>525</v>
      </c>
    </row>
    <row r="1578" spans="1:5" ht="17.100000000000001" customHeight="1">
      <c r="A1578" s="812"/>
      <c r="B1578" s="1146"/>
      <c r="C1578" s="1029" t="s">
        <v>376</v>
      </c>
      <c r="D1578" s="1089" t="s">
        <v>854</v>
      </c>
      <c r="E1578" s="828">
        <v>30600</v>
      </c>
    </row>
    <row r="1579" spans="1:5" ht="17.100000000000001" customHeight="1">
      <c r="A1579" s="812"/>
      <c r="B1579" s="1146"/>
      <c r="C1579" s="1029" t="s">
        <v>377</v>
      </c>
      <c r="D1579" s="1089" t="s">
        <v>854</v>
      </c>
      <c r="E1579" s="828">
        <v>5400</v>
      </c>
    </row>
    <row r="1580" spans="1:5" ht="17.100000000000001" customHeight="1">
      <c r="A1580" s="812"/>
      <c r="B1580" s="1146"/>
      <c r="C1580" s="1105"/>
      <c r="D1580" s="1089"/>
      <c r="E1580" s="828"/>
    </row>
    <row r="1581" spans="1:5" ht="17.100000000000001" customHeight="1">
      <c r="A1581" s="812"/>
      <c r="B1581" s="820"/>
      <c r="C1581" s="1702" t="s">
        <v>804</v>
      </c>
      <c r="D1581" s="1702"/>
      <c r="E1581" s="832">
        <f t="shared" ref="E1581" si="214">E1582</f>
        <v>5970331</v>
      </c>
    </row>
    <row r="1582" spans="1:5" ht="17.100000000000001" customHeight="1">
      <c r="A1582" s="812"/>
      <c r="B1582" s="820"/>
      <c r="C1582" s="1703" t="s">
        <v>805</v>
      </c>
      <c r="D1582" s="1697"/>
      <c r="E1582" s="828">
        <f t="shared" ref="E1582" si="215">SUM(E1583:E1586)</f>
        <v>5970331</v>
      </c>
    </row>
    <row r="1583" spans="1:5" ht="17.100000000000001" customHeight="1">
      <c r="A1583" s="812"/>
      <c r="B1583" s="820"/>
      <c r="C1583" s="1049" t="s">
        <v>405</v>
      </c>
      <c r="D1583" s="850" t="s">
        <v>806</v>
      </c>
      <c r="E1583" s="828">
        <v>200831</v>
      </c>
    </row>
    <row r="1584" spans="1:5" ht="17.100000000000001" customHeight="1">
      <c r="A1584" s="812"/>
      <c r="B1584" s="820"/>
      <c r="C1584" s="829" t="s">
        <v>406</v>
      </c>
      <c r="D1584" s="850" t="s">
        <v>806</v>
      </c>
      <c r="E1584" s="1031">
        <v>4734075</v>
      </c>
    </row>
    <row r="1585" spans="1:5" ht="17.100000000000001" customHeight="1">
      <c r="A1585" s="812"/>
      <c r="B1585" s="820"/>
      <c r="C1585" s="1049" t="s">
        <v>451</v>
      </c>
      <c r="D1585" s="850" t="s">
        <v>806</v>
      </c>
      <c r="E1585" s="828">
        <v>835425</v>
      </c>
    </row>
    <row r="1586" spans="1:5" ht="38.25">
      <c r="A1586" s="812"/>
      <c r="B1586" s="820"/>
      <c r="C1586" s="1049" t="s">
        <v>861</v>
      </c>
      <c r="D1586" s="1030" t="s">
        <v>862</v>
      </c>
      <c r="E1586" s="828">
        <v>200000</v>
      </c>
    </row>
    <row r="1587" spans="1:5" ht="17.100000000000001" customHeight="1">
      <c r="A1587" s="812"/>
      <c r="B1587" s="820"/>
      <c r="C1587" s="829"/>
      <c r="D1587" s="850"/>
      <c r="E1587" s="828"/>
    </row>
    <row r="1588" spans="1:5" ht="17.100000000000001" customHeight="1">
      <c r="A1588" s="812"/>
      <c r="B1588" s="820"/>
      <c r="C1588" s="1698" t="s">
        <v>811</v>
      </c>
      <c r="D1588" s="1719"/>
      <c r="E1588" s="828">
        <f>SUM(E1589:E1590)</f>
        <v>5569500</v>
      </c>
    </row>
    <row r="1589" spans="1:5" ht="17.100000000000001" customHeight="1">
      <c r="A1589" s="812"/>
      <c r="B1589" s="820"/>
      <c r="C1589" s="829" t="s">
        <v>406</v>
      </c>
      <c r="D1589" s="1057" t="s">
        <v>806</v>
      </c>
      <c r="E1589" s="1031">
        <v>4734075</v>
      </c>
    </row>
    <row r="1590" spans="1:5" ht="17.100000000000001" customHeight="1" thickBot="1">
      <c r="A1590" s="812"/>
      <c r="B1590" s="820"/>
      <c r="C1590" s="965" t="s">
        <v>451</v>
      </c>
      <c r="D1590" s="966" t="s">
        <v>806</v>
      </c>
      <c r="E1590" s="835">
        <v>835425</v>
      </c>
    </row>
    <row r="1591" spans="1:5" ht="27.75" customHeight="1" thickBot="1">
      <c r="A1591" s="807" t="s">
        <v>1021</v>
      </c>
      <c r="B1591" s="869"/>
      <c r="C1591" s="870"/>
      <c r="D1591" s="871" t="s">
        <v>1022</v>
      </c>
      <c r="E1591" s="872">
        <f t="shared" ref="E1591" si="216">E1592+E1621</f>
        <v>1205615</v>
      </c>
    </row>
    <row r="1592" spans="1:5" ht="17.100000000000001" customHeight="1" thickBot="1">
      <c r="A1592" s="812"/>
      <c r="B1592" s="858" t="s">
        <v>1023</v>
      </c>
      <c r="C1592" s="859"/>
      <c r="D1592" s="860" t="s">
        <v>746</v>
      </c>
      <c r="E1592" s="861">
        <f t="shared" ref="E1592" si="217">E1593</f>
        <v>1200615</v>
      </c>
    </row>
    <row r="1593" spans="1:5" ht="17.100000000000001" customHeight="1">
      <c r="A1593" s="812"/>
      <c r="B1593" s="820"/>
      <c r="C1593" s="1583" t="s">
        <v>753</v>
      </c>
      <c r="D1593" s="1583"/>
      <c r="E1593" s="817">
        <f t="shared" ref="E1593" si="218">E1594+E1619</f>
        <v>1200615</v>
      </c>
    </row>
    <row r="1594" spans="1:5" ht="17.100000000000001" customHeight="1">
      <c r="A1594" s="812"/>
      <c r="B1594" s="820"/>
      <c r="C1594" s="1711" t="s">
        <v>754</v>
      </c>
      <c r="D1594" s="1711"/>
      <c r="E1594" s="828">
        <f t="shared" ref="E1594" si="219">E1595+E1602</f>
        <v>1161305</v>
      </c>
    </row>
    <row r="1595" spans="1:5" ht="17.100000000000001" customHeight="1">
      <c r="A1595" s="812"/>
      <c r="B1595" s="820"/>
      <c r="C1595" s="1717" t="s">
        <v>755</v>
      </c>
      <c r="D1595" s="1717"/>
      <c r="E1595" s="841">
        <f t="shared" ref="E1595" si="220">SUM(E1596:E1600)</f>
        <v>921141</v>
      </c>
    </row>
    <row r="1596" spans="1:5" ht="17.100000000000001" customHeight="1">
      <c r="A1596" s="812"/>
      <c r="B1596" s="820"/>
      <c r="C1596" s="1029" t="s">
        <v>538</v>
      </c>
      <c r="D1596" s="1030" t="s">
        <v>756</v>
      </c>
      <c r="E1596" s="828">
        <v>712541</v>
      </c>
    </row>
    <row r="1597" spans="1:5" ht="17.100000000000001" customHeight="1">
      <c r="A1597" s="812"/>
      <c r="B1597" s="820"/>
      <c r="C1597" s="1029" t="s">
        <v>757</v>
      </c>
      <c r="D1597" s="1030" t="s">
        <v>758</v>
      </c>
      <c r="E1597" s="828">
        <v>52761</v>
      </c>
    </row>
    <row r="1598" spans="1:5" ht="17.100000000000001" customHeight="1">
      <c r="A1598" s="812"/>
      <c r="B1598" s="820"/>
      <c r="C1598" s="1029" t="s">
        <v>759</v>
      </c>
      <c r="D1598" s="1030" t="s">
        <v>760</v>
      </c>
      <c r="E1598" s="828">
        <v>133668</v>
      </c>
    </row>
    <row r="1599" spans="1:5" ht="17.100000000000001" customHeight="1">
      <c r="A1599" s="812"/>
      <c r="B1599" s="820"/>
      <c r="C1599" s="1029" t="s">
        <v>761</v>
      </c>
      <c r="D1599" s="1030" t="s">
        <v>762</v>
      </c>
      <c r="E1599" s="828">
        <v>9771</v>
      </c>
    </row>
    <row r="1600" spans="1:5" ht="17.100000000000001" customHeight="1">
      <c r="A1600" s="812"/>
      <c r="B1600" s="820"/>
      <c r="C1600" s="1029" t="s">
        <v>763</v>
      </c>
      <c r="D1600" s="1030" t="s">
        <v>764</v>
      </c>
      <c r="E1600" s="828">
        <v>12400</v>
      </c>
    </row>
    <row r="1601" spans="1:5" ht="17.100000000000001" customHeight="1">
      <c r="A1601" s="812"/>
      <c r="B1601" s="820"/>
      <c r="C1601" s="838"/>
      <c r="D1601" s="838"/>
      <c r="E1601" s="825"/>
    </row>
    <row r="1602" spans="1:5" ht="17.100000000000001" customHeight="1">
      <c r="A1602" s="812"/>
      <c r="B1602" s="820"/>
      <c r="C1602" s="1698" t="s">
        <v>765</v>
      </c>
      <c r="D1602" s="1698"/>
      <c r="E1602" s="841">
        <f t="shared" ref="E1602" si="221">SUM(E1603:E1617)</f>
        <v>240164</v>
      </c>
    </row>
    <row r="1603" spans="1:5" ht="17.100000000000001" customHeight="1">
      <c r="A1603" s="812"/>
      <c r="B1603" s="820"/>
      <c r="C1603" s="1147" t="s">
        <v>824</v>
      </c>
      <c r="D1603" s="1148" t="s">
        <v>814</v>
      </c>
      <c r="E1603" s="828">
        <v>5628</v>
      </c>
    </row>
    <row r="1604" spans="1:5" ht="17.100000000000001" customHeight="1">
      <c r="A1604" s="812"/>
      <c r="B1604" s="820"/>
      <c r="C1604" s="1029" t="s">
        <v>768</v>
      </c>
      <c r="D1604" s="1030" t="s">
        <v>769</v>
      </c>
      <c r="E1604" s="828">
        <v>40135</v>
      </c>
    </row>
    <row r="1605" spans="1:5" ht="17.100000000000001" customHeight="1">
      <c r="A1605" s="812"/>
      <c r="B1605" s="820"/>
      <c r="C1605" s="1029" t="s">
        <v>770</v>
      </c>
      <c r="D1605" s="1030" t="s">
        <v>771</v>
      </c>
      <c r="E1605" s="828">
        <v>1300</v>
      </c>
    </row>
    <row r="1606" spans="1:5" ht="17.100000000000001" customHeight="1">
      <c r="A1606" s="812"/>
      <c r="B1606" s="820"/>
      <c r="C1606" s="1029" t="s">
        <v>872</v>
      </c>
      <c r="D1606" s="1030" t="s">
        <v>873</v>
      </c>
      <c r="E1606" s="828">
        <v>500</v>
      </c>
    </row>
    <row r="1607" spans="1:5" ht="17.100000000000001" customHeight="1">
      <c r="A1607" s="812"/>
      <c r="B1607" s="820"/>
      <c r="C1607" s="1029" t="s">
        <v>772</v>
      </c>
      <c r="D1607" s="1030" t="s">
        <v>773</v>
      </c>
      <c r="E1607" s="828">
        <v>34000</v>
      </c>
    </row>
    <row r="1608" spans="1:5" ht="17.100000000000001" customHeight="1">
      <c r="A1608" s="812"/>
      <c r="B1608" s="820"/>
      <c r="C1608" s="1029" t="s">
        <v>774</v>
      </c>
      <c r="D1608" s="1030" t="s">
        <v>775</v>
      </c>
      <c r="E1608" s="828">
        <v>3000</v>
      </c>
    </row>
    <row r="1609" spans="1:5" ht="17.100000000000001" customHeight="1">
      <c r="A1609" s="812"/>
      <c r="B1609" s="820"/>
      <c r="C1609" s="1029" t="s">
        <v>776</v>
      </c>
      <c r="D1609" s="1030" t="s">
        <v>777</v>
      </c>
      <c r="E1609" s="828">
        <v>1320</v>
      </c>
    </row>
    <row r="1610" spans="1:5" ht="17.100000000000001" customHeight="1">
      <c r="A1610" s="812"/>
      <c r="B1610" s="820"/>
      <c r="C1610" s="1029" t="s">
        <v>517</v>
      </c>
      <c r="D1610" s="1030" t="s">
        <v>778</v>
      </c>
      <c r="E1610" s="828">
        <v>48211</v>
      </c>
    </row>
    <row r="1611" spans="1:5" ht="16.5" customHeight="1">
      <c r="A1611" s="812"/>
      <c r="B1611" s="820"/>
      <c r="C1611" s="1029" t="s">
        <v>779</v>
      </c>
      <c r="D1611" s="1030" t="s">
        <v>780</v>
      </c>
      <c r="E1611" s="828">
        <v>5800</v>
      </c>
    </row>
    <row r="1612" spans="1:5" ht="20.25" customHeight="1">
      <c r="A1612" s="812"/>
      <c r="B1612" s="820"/>
      <c r="C1612" s="1029" t="s">
        <v>783</v>
      </c>
      <c r="D1612" s="1030" t="s">
        <v>784</v>
      </c>
      <c r="E1612" s="828">
        <v>65429</v>
      </c>
    </row>
    <row r="1613" spans="1:5" ht="17.100000000000001" customHeight="1">
      <c r="A1613" s="812"/>
      <c r="B1613" s="820"/>
      <c r="C1613" s="1029" t="s">
        <v>785</v>
      </c>
      <c r="D1613" s="1030" t="s">
        <v>786</v>
      </c>
      <c r="E1613" s="828">
        <v>1300</v>
      </c>
    </row>
    <row r="1614" spans="1:5" ht="17.100000000000001" customHeight="1">
      <c r="A1614" s="812"/>
      <c r="B1614" s="820"/>
      <c r="C1614" s="1029" t="s">
        <v>787</v>
      </c>
      <c r="D1614" s="1030" t="s">
        <v>788</v>
      </c>
      <c r="E1614" s="828">
        <v>7100</v>
      </c>
    </row>
    <row r="1615" spans="1:5" ht="17.100000000000001" customHeight="1">
      <c r="A1615" s="812"/>
      <c r="B1615" s="820"/>
      <c r="C1615" s="1029" t="s">
        <v>789</v>
      </c>
      <c r="D1615" s="1030" t="s">
        <v>790</v>
      </c>
      <c r="E1615" s="828">
        <v>19181</v>
      </c>
    </row>
    <row r="1616" spans="1:5" ht="17.100000000000001" customHeight="1">
      <c r="A1616" s="812"/>
      <c r="B1616" s="820"/>
      <c r="C1616" s="1029" t="s">
        <v>791</v>
      </c>
      <c r="D1616" s="1030" t="s">
        <v>792</v>
      </c>
      <c r="E1616" s="828">
        <v>2760</v>
      </c>
    </row>
    <row r="1617" spans="1:5" ht="17.100000000000001" customHeight="1">
      <c r="A1617" s="812"/>
      <c r="B1617" s="820"/>
      <c r="C1617" s="1029" t="s">
        <v>799</v>
      </c>
      <c r="D1617" s="1030" t="s">
        <v>800</v>
      </c>
      <c r="E1617" s="828">
        <v>4500</v>
      </c>
    </row>
    <row r="1618" spans="1:5" ht="17.100000000000001" customHeight="1">
      <c r="A1618" s="812"/>
      <c r="B1618" s="820"/>
      <c r="C1618" s="838"/>
      <c r="D1618" s="838"/>
      <c r="E1618" s="825"/>
    </row>
    <row r="1619" spans="1:5" ht="17.100000000000001" customHeight="1">
      <c r="A1619" s="812"/>
      <c r="B1619" s="820"/>
      <c r="C1619" s="1703" t="s">
        <v>801</v>
      </c>
      <c r="D1619" s="1703"/>
      <c r="E1619" s="1031">
        <f t="shared" ref="E1619" si="222">E1620</f>
        <v>39310</v>
      </c>
    </row>
    <row r="1620" spans="1:5" ht="13.5" thickBot="1">
      <c r="A1620" s="812"/>
      <c r="B1620" s="820"/>
      <c r="C1620" s="965" t="s">
        <v>802</v>
      </c>
      <c r="D1620" s="966" t="s">
        <v>803</v>
      </c>
      <c r="E1620" s="835">
        <v>39310</v>
      </c>
    </row>
    <row r="1621" spans="1:5" ht="17.100000000000001" customHeight="1" thickBot="1">
      <c r="A1621" s="812"/>
      <c r="B1621" s="858" t="s">
        <v>1024</v>
      </c>
      <c r="C1621" s="859"/>
      <c r="D1621" s="860" t="s">
        <v>213</v>
      </c>
      <c r="E1621" s="861">
        <f t="shared" ref="E1621:E1622" si="223">E1622</f>
        <v>5000</v>
      </c>
    </row>
    <row r="1622" spans="1:5" ht="17.100000000000001" customHeight="1">
      <c r="A1622" s="812"/>
      <c r="B1622" s="820"/>
      <c r="C1622" s="1583" t="s">
        <v>753</v>
      </c>
      <c r="D1622" s="1661"/>
      <c r="E1622" s="992">
        <f t="shared" si="223"/>
        <v>5000</v>
      </c>
    </row>
    <row r="1623" spans="1:5" ht="17.100000000000001" customHeight="1">
      <c r="A1623" s="812"/>
      <c r="B1623" s="820"/>
      <c r="C1623" s="1695" t="s">
        <v>754</v>
      </c>
      <c r="D1623" s="1716"/>
      <c r="E1623" s="993">
        <f>E1624</f>
        <v>5000</v>
      </c>
    </row>
    <row r="1624" spans="1:5" ht="17.100000000000001" customHeight="1">
      <c r="A1624" s="812"/>
      <c r="B1624" s="820"/>
      <c r="C1624" s="1698" t="s">
        <v>765</v>
      </c>
      <c r="D1624" s="1728"/>
      <c r="E1624" s="993">
        <f>SUM(E1625:E1625)</f>
        <v>5000</v>
      </c>
    </row>
    <row r="1625" spans="1:5" ht="17.100000000000001" customHeight="1" thickBot="1">
      <c r="A1625" s="812"/>
      <c r="B1625" s="820"/>
      <c r="C1625" s="1149" t="s">
        <v>768</v>
      </c>
      <c r="D1625" s="1150" t="s">
        <v>769</v>
      </c>
      <c r="E1625" s="1116">
        <v>5000</v>
      </c>
    </row>
    <row r="1626" spans="1:5" ht="17.100000000000001" customHeight="1" thickBot="1">
      <c r="A1626" s="807" t="s">
        <v>139</v>
      </c>
      <c r="B1626" s="869"/>
      <c r="C1626" s="870"/>
      <c r="D1626" s="1151" t="s">
        <v>1025</v>
      </c>
      <c r="E1626" s="1152">
        <f>E1627</f>
        <v>3110091</v>
      </c>
    </row>
    <row r="1627" spans="1:5" ht="17.100000000000001" customHeight="1" thickBot="1">
      <c r="A1627" s="1657"/>
      <c r="B1627" s="858" t="s">
        <v>140</v>
      </c>
      <c r="C1627" s="1153"/>
      <c r="D1627" s="1154" t="s">
        <v>1026</v>
      </c>
      <c r="E1627" s="1008">
        <f>E1628</f>
        <v>3110091</v>
      </c>
    </row>
    <row r="1628" spans="1:5" ht="17.100000000000001" customHeight="1">
      <c r="A1628" s="1657"/>
      <c r="B1628" s="1729"/>
      <c r="C1628" s="1583" t="s">
        <v>753</v>
      </c>
      <c r="D1628" s="1661"/>
      <c r="E1628" s="992">
        <f t="shared" ref="E1628" si="224">E1629+E1638+E1642</f>
        <v>3110091</v>
      </c>
    </row>
    <row r="1629" spans="1:5" ht="17.100000000000001" customHeight="1">
      <c r="A1629" s="1657"/>
      <c r="B1629" s="1642"/>
      <c r="C1629" s="1711" t="s">
        <v>754</v>
      </c>
      <c r="D1629" s="1730"/>
      <c r="E1629" s="993">
        <f t="shared" ref="E1629" si="225">E1630+E1634</f>
        <v>34000</v>
      </c>
    </row>
    <row r="1630" spans="1:5" ht="17.100000000000001" customHeight="1">
      <c r="A1630" s="1657"/>
      <c r="B1630" s="1642"/>
      <c r="C1630" s="1717" t="s">
        <v>755</v>
      </c>
      <c r="D1630" s="1731"/>
      <c r="E1630" s="993">
        <f t="shared" ref="E1630" si="226">SUM(E1631:E1632)</f>
        <v>9000</v>
      </c>
    </row>
    <row r="1631" spans="1:5" ht="17.100000000000001" customHeight="1">
      <c r="A1631" s="1657"/>
      <c r="B1631" s="1642"/>
      <c r="C1631" s="1029" t="s">
        <v>759</v>
      </c>
      <c r="D1631" s="1114" t="s">
        <v>760</v>
      </c>
      <c r="E1631" s="993">
        <v>8000</v>
      </c>
    </row>
    <row r="1632" spans="1:5" ht="17.100000000000001" customHeight="1">
      <c r="A1632" s="1657"/>
      <c r="B1632" s="1642"/>
      <c r="C1632" s="1029" t="s">
        <v>761</v>
      </c>
      <c r="D1632" s="1114" t="s">
        <v>762</v>
      </c>
      <c r="E1632" s="993">
        <v>1000</v>
      </c>
    </row>
    <row r="1633" spans="1:5" ht="17.100000000000001" customHeight="1">
      <c r="A1633" s="1657"/>
      <c r="B1633" s="1642"/>
      <c r="C1633" s="1155"/>
      <c r="D1633" s="1156"/>
      <c r="E1633" s="1157"/>
    </row>
    <row r="1634" spans="1:5" ht="17.100000000000001" customHeight="1">
      <c r="A1634" s="1657"/>
      <c r="B1634" s="1642"/>
      <c r="C1634" s="1745" t="s">
        <v>765</v>
      </c>
      <c r="D1634" s="1746"/>
      <c r="E1634" s="1158">
        <f t="shared" ref="E1634" si="227">SUM(E1635:E1636)</f>
        <v>25000</v>
      </c>
    </row>
    <row r="1635" spans="1:5" ht="17.100000000000001" customHeight="1">
      <c r="A1635" s="1657"/>
      <c r="B1635" s="1642"/>
      <c r="C1635" s="1029" t="s">
        <v>768</v>
      </c>
      <c r="D1635" s="1114" t="s">
        <v>769</v>
      </c>
      <c r="E1635" s="993">
        <v>21000</v>
      </c>
    </row>
    <row r="1636" spans="1:5" ht="17.100000000000001" customHeight="1">
      <c r="A1636" s="1657"/>
      <c r="B1636" s="1642"/>
      <c r="C1636" s="1096" t="s">
        <v>517</v>
      </c>
      <c r="D1636" s="1115" t="s">
        <v>778</v>
      </c>
      <c r="E1636" s="1116">
        <v>4000</v>
      </c>
    </row>
    <row r="1637" spans="1:5" ht="17.100000000000001" customHeight="1">
      <c r="A1637" s="1657"/>
      <c r="B1637" s="1642"/>
      <c r="C1637" s="1159"/>
      <c r="D1637" s="1159"/>
      <c r="E1637" s="1160"/>
    </row>
    <row r="1638" spans="1:5" ht="17.100000000000001" customHeight="1">
      <c r="A1638" s="1657"/>
      <c r="B1638" s="1642"/>
      <c r="C1638" s="1747" t="s">
        <v>1027</v>
      </c>
      <c r="D1638" s="1748"/>
      <c r="E1638" s="993">
        <f>SUM(E1639:E1640)</f>
        <v>2546091</v>
      </c>
    </row>
    <row r="1639" spans="1:5" ht="45" customHeight="1">
      <c r="A1639" s="1657"/>
      <c r="B1639" s="1642"/>
      <c r="C1639" s="1161" t="s">
        <v>827</v>
      </c>
      <c r="D1639" s="1162" t="s">
        <v>828</v>
      </c>
      <c r="E1639" s="993">
        <v>160000</v>
      </c>
    </row>
    <row r="1640" spans="1:5" ht="25.5">
      <c r="A1640" s="1657"/>
      <c r="B1640" s="1642"/>
      <c r="C1640" s="1163" t="s">
        <v>1028</v>
      </c>
      <c r="D1640" s="1164" t="s">
        <v>1029</v>
      </c>
      <c r="E1640" s="1165">
        <v>2386091</v>
      </c>
    </row>
    <row r="1641" spans="1:5" ht="17.100000000000001" customHeight="1">
      <c r="A1641" s="1657"/>
      <c r="B1641" s="1642"/>
      <c r="C1641" s="1749"/>
      <c r="D1641" s="1749"/>
      <c r="E1641" s="993"/>
    </row>
    <row r="1642" spans="1:5" ht="17.100000000000001" customHeight="1">
      <c r="A1642" s="1657"/>
      <c r="B1642" s="1642"/>
      <c r="C1642" s="1750" t="s">
        <v>801</v>
      </c>
      <c r="D1642" s="1751"/>
      <c r="E1642" s="993">
        <f>SUM(E1643:E1644)</f>
        <v>530000</v>
      </c>
    </row>
    <row r="1643" spans="1:5" ht="17.100000000000001" customHeight="1">
      <c r="A1643" s="1657"/>
      <c r="B1643" s="1642"/>
      <c r="C1643" s="1163" t="s">
        <v>946</v>
      </c>
      <c r="D1643" s="1164" t="s">
        <v>947</v>
      </c>
      <c r="E1643" s="1165">
        <v>80000</v>
      </c>
    </row>
    <row r="1644" spans="1:5" ht="17.100000000000001" customHeight="1">
      <c r="A1644" s="1657"/>
      <c r="B1644" s="1642"/>
      <c r="C1644" s="1166" t="s">
        <v>953</v>
      </c>
      <c r="D1644" s="1167" t="s">
        <v>954</v>
      </c>
      <c r="E1644" s="993">
        <v>450000</v>
      </c>
    </row>
    <row r="1645" spans="1:5" ht="17.100000000000001" customHeight="1" thickBot="1">
      <c r="A1645" s="812"/>
      <c r="B1645" s="1642"/>
      <c r="C1645" s="1752"/>
      <c r="D1645" s="1752"/>
      <c r="E1645" s="1168"/>
    </row>
    <row r="1646" spans="1:5" ht="17.100000000000001" customHeight="1" thickBot="1">
      <c r="A1646" s="1753" t="s">
        <v>1030</v>
      </c>
      <c r="B1646" s="1754"/>
      <c r="C1646" s="1754"/>
      <c r="D1646" s="1754"/>
      <c r="E1646" s="1152">
        <f>E8+E154+E181+E209+E221+E337+E357+E369+E441+E470+E508+E777+E798+E807+E817+E1077+E1092+E1153+E1240+E1335+E1382+E1438+E1480+E1591+E1626</f>
        <v>1537602510</v>
      </c>
    </row>
    <row r="1647" spans="1:5" ht="12.75" customHeight="1" thickBot="1">
      <c r="A1647" s="1732"/>
      <c r="B1647" s="1733"/>
      <c r="C1647" s="1733"/>
      <c r="D1647" s="1733"/>
      <c r="E1647" s="1169"/>
    </row>
    <row r="1648" spans="1:5" ht="17.100000000000001" customHeight="1" thickBot="1">
      <c r="A1648" s="1734" t="s">
        <v>2</v>
      </c>
      <c r="B1648" s="1735"/>
      <c r="C1648" s="1735"/>
      <c r="D1648" s="1735"/>
      <c r="E1648" s="1170"/>
    </row>
    <row r="1649" spans="1:7" ht="24" customHeight="1" thickBot="1">
      <c r="A1649" s="1736" t="s">
        <v>1031</v>
      </c>
      <c r="B1649" s="1737"/>
      <c r="C1649" s="1737"/>
      <c r="D1649" s="1737"/>
      <c r="E1649" s="1171">
        <f>E1650+E1653+E1654+E1655+E1656+E1657</f>
        <v>653943393</v>
      </c>
    </row>
    <row r="1650" spans="1:7" ht="17.100000000000001" customHeight="1">
      <c r="A1650" s="1738" t="s">
        <v>1032</v>
      </c>
      <c r="B1650" s="1739"/>
      <c r="C1650" s="1739"/>
      <c r="D1650" s="1740"/>
      <c r="E1650" s="1172">
        <f>E1651+E1652</f>
        <v>250389537</v>
      </c>
    </row>
    <row r="1651" spans="1:7" ht="19.5" customHeight="1">
      <c r="A1651" s="1741" t="s">
        <v>1033</v>
      </c>
      <c r="B1651" s="1742"/>
      <c r="C1651" s="1742"/>
      <c r="D1651" s="1743"/>
      <c r="E1651" s="1173">
        <f>E12+E48+E65+E213+E272+E373+E408+E512+E523+E541+E631+E642+E698+E713+E821+E849+E866+E883+E934+E991+E1053+E1148+E1161+E1250+E1339+E1407+E1451+E1552+E1595+E1630+E1038+E139+E329+E349</f>
        <v>129126152</v>
      </c>
    </row>
    <row r="1652" spans="1:7" ht="18.75" customHeight="1">
      <c r="A1652" s="1744" t="s">
        <v>1034</v>
      </c>
      <c r="B1652" s="1742"/>
      <c r="C1652" s="1742"/>
      <c r="D1652" s="1743"/>
      <c r="E1652" s="1173">
        <f>E19+E55+E71+E123+E144+E219+E225+E267+E279+E334+E341+E354+E362+E380+E415+E439+E445+E518+E526+E548+E636+E645+E704+E716+E811+E828+E855+E872+E890+E941+E998+E1059+E1081+E1090+E1122+E1135+E1143+E1151+E1168+E1257+E1345+E1386+E1413+E1433+E1442+E1456+E1465+E1470+E1477+E1557+E1602+E1624+E1634+E1043</f>
        <v>121263385</v>
      </c>
    </row>
    <row r="1653" spans="1:7" ht="17.100000000000001" customHeight="1">
      <c r="A1653" s="1755" t="s">
        <v>1035</v>
      </c>
      <c r="B1653" s="1756"/>
      <c r="C1653" s="1756"/>
      <c r="D1653" s="1757"/>
      <c r="E1653" s="1173">
        <f>E127+E152+E184+E229+E262+E344+E654+E796+E1064+E1096+E1105+E1125+E1130+E1138+E1156+E1189+E1209+E1243+E1332+E1391+E1436+E1446+E1483+E1491+E1500+E1505+E1514+E1519+E1528+E1537+E1547+E1638</f>
        <v>237996356</v>
      </c>
    </row>
    <row r="1654" spans="1:7" ht="17.100000000000001" customHeight="1">
      <c r="A1654" s="1755" t="s">
        <v>1036</v>
      </c>
      <c r="B1654" s="1756"/>
      <c r="C1654" s="1756"/>
      <c r="D1654" s="1757"/>
      <c r="E1654" s="1173">
        <f>E40+E83+E302+E400+E430+E533+E571+E732+E841+E862+E879+E908+E954+E1018+E1069+E1070+E1071+E1086+E1192+E1279+E1280+E1355+E1429+E1487+E1488+E1620+E1643+E1644</f>
        <v>2830659</v>
      </c>
    </row>
    <row r="1655" spans="1:7" ht="15.75" customHeight="1">
      <c r="A1655" s="1761" t="s">
        <v>1037</v>
      </c>
      <c r="B1655" s="1756"/>
      <c r="C1655" s="1756"/>
      <c r="D1655" s="1757"/>
      <c r="E1655" s="1173">
        <f>E93+E157+E188+E473+E573+E657+E734+E911+E956+E1020+E1213+E1282+E1358+E1394+E1561+E432</f>
        <v>141441279</v>
      </c>
      <c r="G1655" s="1174"/>
    </row>
    <row r="1656" spans="1:7" ht="17.100000000000001" customHeight="1">
      <c r="A1656" s="1755" t="s">
        <v>1038</v>
      </c>
      <c r="B1656" s="1756"/>
      <c r="C1656" s="1756"/>
      <c r="D1656" s="1757"/>
      <c r="E1656" s="1173">
        <f>E806</f>
        <v>10285562</v>
      </c>
    </row>
    <row r="1657" spans="1:7" ht="17.100000000000001" customHeight="1" thickBot="1">
      <c r="A1657" s="1762" t="s">
        <v>1039</v>
      </c>
      <c r="B1657" s="1763"/>
      <c r="C1657" s="1763"/>
      <c r="D1657" s="1764"/>
      <c r="E1657" s="1175">
        <f>E802</f>
        <v>11000000</v>
      </c>
    </row>
    <row r="1658" spans="1:7" ht="21.75" customHeight="1" thickBot="1">
      <c r="A1658" s="1765" t="s">
        <v>1040</v>
      </c>
      <c r="B1658" s="1766"/>
      <c r="C1658" s="1766"/>
      <c r="D1658" s="1767"/>
      <c r="E1658" s="1171">
        <f>E1659+E1661+E1662</f>
        <v>883659117</v>
      </c>
      <c r="G1658" s="1176"/>
    </row>
    <row r="1659" spans="1:7" ht="17.100000000000001" customHeight="1">
      <c r="A1659" s="1738" t="s">
        <v>1041</v>
      </c>
      <c r="B1659" s="1739"/>
      <c r="C1659" s="1739"/>
      <c r="D1659" s="1740"/>
      <c r="E1659" s="1172">
        <f>E42+E85+E131+E197+E233+E304+E323+E456+E614+E684+E770+E779+E787+E791+E814+E927+E981+E1073+E1099+E1108+E1112+E1116+E1205+E1236+E1320+E1496+E1509+E1523+E1542+E1581+E1460+E504+E1533+E844+E1027+E403+E245+E536</f>
        <v>883659117</v>
      </c>
    </row>
    <row r="1660" spans="1:7" ht="18" customHeight="1">
      <c r="A1660" s="1744" t="s">
        <v>1042</v>
      </c>
      <c r="B1660" s="1742"/>
      <c r="C1660" s="1742"/>
      <c r="D1660" s="1743"/>
      <c r="E1660" s="1173">
        <f>E89+E207+E239+E314+E464+E623+E691+E775+E1327+E1588+E506+E985+E253+E1032</f>
        <v>724154957</v>
      </c>
    </row>
    <row r="1661" spans="1:7" ht="17.100000000000001" customHeight="1">
      <c r="A1661" s="1755" t="s">
        <v>1043</v>
      </c>
      <c r="B1661" s="1756"/>
      <c r="C1661" s="1756"/>
      <c r="D1661" s="1757"/>
      <c r="E1661" s="1173">
        <v>0</v>
      </c>
      <c r="G1661" s="1174"/>
    </row>
    <row r="1662" spans="1:7" ht="17.100000000000001" customHeight="1" thickBot="1">
      <c r="A1662" s="1758" t="s">
        <v>1044</v>
      </c>
      <c r="B1662" s="1759"/>
      <c r="C1662" s="1759"/>
      <c r="D1662" s="1760"/>
      <c r="E1662" s="1177">
        <v>0</v>
      </c>
    </row>
    <row r="1663" spans="1:7" ht="17.100000000000001" customHeight="1">
      <c r="A1663" s="1178"/>
      <c r="B1663" s="1178"/>
      <c r="C1663" s="1178"/>
      <c r="D1663" s="1178"/>
      <c r="E1663" s="1179"/>
    </row>
    <row r="1664" spans="1:7" ht="17.100000000000001" customHeight="1">
      <c r="A1664" s="1178"/>
      <c r="B1664" s="1178"/>
      <c r="C1664" s="1178"/>
      <c r="D1664" s="1178"/>
      <c r="E1664" s="1178"/>
    </row>
    <row r="1665" spans="1:5" ht="17.100000000000001" customHeight="1">
      <c r="A1665" s="1178"/>
      <c r="B1665" s="1178"/>
      <c r="C1665" s="1178"/>
      <c r="D1665" s="1178"/>
      <c r="E1665" s="1178"/>
    </row>
    <row r="1666" spans="1:5" ht="17.100000000000001" customHeight="1">
      <c r="A1666" s="1178"/>
      <c r="B1666" s="1178"/>
      <c r="C1666" s="1178"/>
      <c r="D1666" s="1178"/>
      <c r="E1666" s="1178"/>
    </row>
    <row r="1667" spans="1:5" ht="17.100000000000001" customHeight="1">
      <c r="A1667" s="1178"/>
      <c r="B1667" s="1178"/>
      <c r="C1667" s="1178"/>
      <c r="D1667" s="1178"/>
      <c r="E1667" s="1178"/>
    </row>
    <row r="1668" spans="1:5" ht="17.100000000000001" customHeight="1">
      <c r="A1668" s="1178"/>
      <c r="B1668" s="1178"/>
      <c r="C1668" s="1178"/>
      <c r="D1668" s="1178"/>
      <c r="E1668" s="1178"/>
    </row>
    <row r="1669" spans="1:5" ht="17.100000000000001" customHeight="1">
      <c r="A1669" s="1178"/>
      <c r="B1669" s="1178"/>
      <c r="C1669" s="1178"/>
      <c r="D1669" s="1178"/>
      <c r="E1669" s="1178"/>
    </row>
    <row r="1670" spans="1:5">
      <c r="A1670" s="1178"/>
      <c r="B1670" s="1178"/>
      <c r="C1670" s="1178"/>
      <c r="D1670" s="1178"/>
      <c r="E1670" s="1178"/>
    </row>
    <row r="1671" spans="1:5">
      <c r="A1671" s="1178"/>
      <c r="B1671" s="1178"/>
      <c r="C1671" s="1178"/>
      <c r="D1671" s="1178"/>
      <c r="E1671" s="1178"/>
    </row>
    <row r="1672" spans="1:5">
      <c r="C1672" s="1174"/>
    </row>
    <row r="1674" spans="1:5">
      <c r="C1674" s="1174"/>
    </row>
    <row r="1676" spans="1:5">
      <c r="C1676" s="1174"/>
    </row>
    <row r="1678" spans="1:5">
      <c r="C1678" s="1174"/>
    </row>
    <row r="1680" spans="1:5">
      <c r="C1680" s="1174"/>
    </row>
    <row r="1682" spans="3:3">
      <c r="C1682" s="1174"/>
    </row>
    <row r="1684" spans="3:3">
      <c r="C1684" s="1174"/>
    </row>
    <row r="1686" spans="3:3">
      <c r="C1686" s="1174"/>
    </row>
    <row r="1688" spans="3:3">
      <c r="C1688" s="1174"/>
    </row>
  </sheetData>
  <mergeCells count="496">
    <mergeCell ref="A1659:D1659"/>
    <mergeCell ref="A1660:D1660"/>
    <mergeCell ref="A1661:D1661"/>
    <mergeCell ref="A1662:D1662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C1634:D1634"/>
    <mergeCell ref="C1638:D1638"/>
    <mergeCell ref="C1641:D1641"/>
    <mergeCell ref="C1642:D1642"/>
    <mergeCell ref="C1645:D1645"/>
    <mergeCell ref="A1646:D1646"/>
    <mergeCell ref="C1602:D1602"/>
    <mergeCell ref="C1619:D1619"/>
    <mergeCell ref="C1622:D1622"/>
    <mergeCell ref="C1623:D1623"/>
    <mergeCell ref="C1624:D1624"/>
    <mergeCell ref="A1627:A1644"/>
    <mergeCell ref="B1628:B1645"/>
    <mergeCell ref="C1628:D1628"/>
    <mergeCell ref="C1629:D1629"/>
    <mergeCell ref="C1630:D1630"/>
    <mergeCell ref="C1581:D1581"/>
    <mergeCell ref="C1582:D1582"/>
    <mergeCell ref="C1588:D1588"/>
    <mergeCell ref="C1593:D1593"/>
    <mergeCell ref="C1594:D1594"/>
    <mergeCell ref="C1595:D1595"/>
    <mergeCell ref="B1550:B1559"/>
    <mergeCell ref="C1550:D1550"/>
    <mergeCell ref="C1551:D1551"/>
    <mergeCell ref="C1552:D1552"/>
    <mergeCell ref="C1557:D1557"/>
    <mergeCell ref="C1561:D1561"/>
    <mergeCell ref="B1536:B1538"/>
    <mergeCell ref="C1536:D1536"/>
    <mergeCell ref="C1537:D1537"/>
    <mergeCell ref="C1542:D1542"/>
    <mergeCell ref="C1543:D1543"/>
    <mergeCell ref="B1546:B1547"/>
    <mergeCell ref="C1546:D1546"/>
    <mergeCell ref="C1547:D1547"/>
    <mergeCell ref="B1527:B1530"/>
    <mergeCell ref="C1527:D1527"/>
    <mergeCell ref="C1528:D1528"/>
    <mergeCell ref="C1531:D1531"/>
    <mergeCell ref="C1532:D1532"/>
    <mergeCell ref="C1533:D1533"/>
    <mergeCell ref="B1513:B1516"/>
    <mergeCell ref="C1513:D1513"/>
    <mergeCell ref="C1514:D1514"/>
    <mergeCell ref="B1518:B1525"/>
    <mergeCell ref="C1518:D1518"/>
    <mergeCell ref="C1519:D1519"/>
    <mergeCell ref="C1523:D1523"/>
    <mergeCell ref="C1524:D1524"/>
    <mergeCell ref="C1495:D1495"/>
    <mergeCell ref="C1496:D1496"/>
    <mergeCell ref="B1499:B1501"/>
    <mergeCell ref="C1499:D1499"/>
    <mergeCell ref="C1500:D1500"/>
    <mergeCell ref="B1504:B1511"/>
    <mergeCell ref="C1504:D1504"/>
    <mergeCell ref="C1505:D1505"/>
    <mergeCell ref="C1509:D1509"/>
    <mergeCell ref="C1510:D1510"/>
    <mergeCell ref="B1482:B1488"/>
    <mergeCell ref="C1482:D1482"/>
    <mergeCell ref="C1483:D1483"/>
    <mergeCell ref="C1486:D1486"/>
    <mergeCell ref="B1490:B1493"/>
    <mergeCell ref="C1490:D1490"/>
    <mergeCell ref="C1491:D1491"/>
    <mergeCell ref="B1468:B1472"/>
    <mergeCell ref="C1468:D1468"/>
    <mergeCell ref="C1469:D1469"/>
    <mergeCell ref="C1470:D1470"/>
    <mergeCell ref="B1474:B1479"/>
    <mergeCell ref="C1474:D1474"/>
    <mergeCell ref="C1475:D1475"/>
    <mergeCell ref="C1477:D1477"/>
    <mergeCell ref="C1459:D1459"/>
    <mergeCell ref="C1460:D1460"/>
    <mergeCell ref="B1463:B1466"/>
    <mergeCell ref="C1463:D1463"/>
    <mergeCell ref="C1464:D1464"/>
    <mergeCell ref="C1465:D1465"/>
    <mergeCell ref="C1446:D1446"/>
    <mergeCell ref="B1449:B1457"/>
    <mergeCell ref="C1449:D1449"/>
    <mergeCell ref="C1450:D1450"/>
    <mergeCell ref="C1451:D1451"/>
    <mergeCell ref="C1456:D1456"/>
    <mergeCell ref="B1431:B1437"/>
    <mergeCell ref="C1431:D1431"/>
    <mergeCell ref="C1432:D1432"/>
    <mergeCell ref="C1433:D1433"/>
    <mergeCell ref="C1436:D1436"/>
    <mergeCell ref="B1440:B1444"/>
    <mergeCell ref="C1440:D1440"/>
    <mergeCell ref="C1441:D1441"/>
    <mergeCell ref="C1442:D1442"/>
    <mergeCell ref="C1405:D1405"/>
    <mergeCell ref="C1406:D1406"/>
    <mergeCell ref="C1407:D1407"/>
    <mergeCell ref="C1413:D1413"/>
    <mergeCell ref="B1421:B1429"/>
    <mergeCell ref="C1428:D1428"/>
    <mergeCell ref="C1384:D1384"/>
    <mergeCell ref="C1385:D1385"/>
    <mergeCell ref="C1386:D1386"/>
    <mergeCell ref="C1390:D1390"/>
    <mergeCell ref="C1391:D1391"/>
    <mergeCell ref="C1394:D1394"/>
    <mergeCell ref="C1338:D1338"/>
    <mergeCell ref="C1339:D1339"/>
    <mergeCell ref="C1345:D1345"/>
    <mergeCell ref="B1350:B1355"/>
    <mergeCell ref="C1354:D1354"/>
    <mergeCell ref="B1357:B1359"/>
    <mergeCell ref="C1357:D1357"/>
    <mergeCell ref="C1358:D1358"/>
    <mergeCell ref="C1321:D1321"/>
    <mergeCell ref="C1327:D1327"/>
    <mergeCell ref="B1331:B1334"/>
    <mergeCell ref="C1331:D1331"/>
    <mergeCell ref="C1332:D1332"/>
    <mergeCell ref="C1337:D1337"/>
    <mergeCell ref="C1250:D1250"/>
    <mergeCell ref="C1257:D1257"/>
    <mergeCell ref="C1278:D1278"/>
    <mergeCell ref="C1282:D1282"/>
    <mergeCell ref="C1320:D1320"/>
    <mergeCell ref="C1235:D1235"/>
    <mergeCell ref="C1236:D1236"/>
    <mergeCell ref="B1242:B1244"/>
    <mergeCell ref="C1242:D1242"/>
    <mergeCell ref="C1243:D1243"/>
    <mergeCell ref="C1248:D1248"/>
    <mergeCell ref="C1208:D1208"/>
    <mergeCell ref="C1209:D1209"/>
    <mergeCell ref="C1213:D1213"/>
    <mergeCell ref="C1159:D1159"/>
    <mergeCell ref="C1160:D1160"/>
    <mergeCell ref="C1161:D1161"/>
    <mergeCell ref="C1168:D1168"/>
    <mergeCell ref="C1189:D1189"/>
    <mergeCell ref="C1249:D1249"/>
    <mergeCell ref="B1192:B1206"/>
    <mergeCell ref="C1192:D1192"/>
    <mergeCell ref="C1195:D1195"/>
    <mergeCell ref="C1196:D1196"/>
    <mergeCell ref="C1199:D1199"/>
    <mergeCell ref="C1146:D1146"/>
    <mergeCell ref="C1147:D1147"/>
    <mergeCell ref="C1148:D1148"/>
    <mergeCell ref="C1151:D1151"/>
    <mergeCell ref="B1155:B1157"/>
    <mergeCell ref="C1155:D1155"/>
    <mergeCell ref="C1156:D1156"/>
    <mergeCell ref="C1200:D1200"/>
    <mergeCell ref="C1204:D1204"/>
    <mergeCell ref="C1205:D1205"/>
    <mergeCell ref="C1135:D1135"/>
    <mergeCell ref="C1138:D1138"/>
    <mergeCell ref="B1141:B1144"/>
    <mergeCell ref="C1141:D1141"/>
    <mergeCell ref="C1142:D1142"/>
    <mergeCell ref="C1143:D1143"/>
    <mergeCell ref="C1127:D1127"/>
    <mergeCell ref="B1129:B1131"/>
    <mergeCell ref="C1129:D1129"/>
    <mergeCell ref="C1130:D1130"/>
    <mergeCell ref="C1133:D1133"/>
    <mergeCell ref="C1134:D1134"/>
    <mergeCell ref="B1116:B1118"/>
    <mergeCell ref="C1116:D1116"/>
    <mergeCell ref="C1117:D1117"/>
    <mergeCell ref="C1120:D1120"/>
    <mergeCell ref="C1121:D1121"/>
    <mergeCell ref="B1122:B1126"/>
    <mergeCell ref="C1122:D1122"/>
    <mergeCell ref="C1125:D1125"/>
    <mergeCell ref="B1104:B1110"/>
    <mergeCell ref="C1104:D1104"/>
    <mergeCell ref="C1105:D1105"/>
    <mergeCell ref="C1108:D1108"/>
    <mergeCell ref="C1109:D1109"/>
    <mergeCell ref="B1112:B1114"/>
    <mergeCell ref="C1112:D1112"/>
    <mergeCell ref="C1113:D1113"/>
    <mergeCell ref="B1088:B1091"/>
    <mergeCell ref="C1088:D1088"/>
    <mergeCell ref="C1089:D1089"/>
    <mergeCell ref="C1090:D1090"/>
    <mergeCell ref="B1094:B1100"/>
    <mergeCell ref="C1094:D1094"/>
    <mergeCell ref="C1096:D1096"/>
    <mergeCell ref="C1099:D1099"/>
    <mergeCell ref="C1100:D1100"/>
    <mergeCell ref="C1073:D1073"/>
    <mergeCell ref="C1074:D1074"/>
    <mergeCell ref="B1079:B1086"/>
    <mergeCell ref="C1079:D1079"/>
    <mergeCell ref="C1080:D1080"/>
    <mergeCell ref="C1081:D1081"/>
    <mergeCell ref="C1085:D1085"/>
    <mergeCell ref="C1051:D1051"/>
    <mergeCell ref="C1052:D1052"/>
    <mergeCell ref="C1053:D1053"/>
    <mergeCell ref="C1059:D1059"/>
    <mergeCell ref="C1064:D1064"/>
    <mergeCell ref="C1068:D1068"/>
    <mergeCell ref="C1027:D1027"/>
    <mergeCell ref="C1032:D1032"/>
    <mergeCell ref="C1036:D1036"/>
    <mergeCell ref="C1037:D1037"/>
    <mergeCell ref="C1038:D1038"/>
    <mergeCell ref="C1043:D1043"/>
    <mergeCell ref="C990:D990"/>
    <mergeCell ref="C991:D991"/>
    <mergeCell ref="C998:D998"/>
    <mergeCell ref="C1017:D1017"/>
    <mergeCell ref="C1020:D1020"/>
    <mergeCell ref="C1026:D1026"/>
    <mergeCell ref="C953:D953"/>
    <mergeCell ref="C956:D956"/>
    <mergeCell ref="C980:D980"/>
    <mergeCell ref="C981:D981"/>
    <mergeCell ref="C985:D985"/>
    <mergeCell ref="C989:D989"/>
    <mergeCell ref="C927:D927"/>
    <mergeCell ref="C928:D928"/>
    <mergeCell ref="C932:D932"/>
    <mergeCell ref="C933:D933"/>
    <mergeCell ref="C934:D934"/>
    <mergeCell ref="C941:D941"/>
    <mergeCell ref="C881:D881"/>
    <mergeCell ref="C882:D882"/>
    <mergeCell ref="C883:D883"/>
    <mergeCell ref="C890:D890"/>
    <mergeCell ref="C908:D908"/>
    <mergeCell ref="C911:D911"/>
    <mergeCell ref="B864:B879"/>
    <mergeCell ref="C864:D864"/>
    <mergeCell ref="C865:D865"/>
    <mergeCell ref="C866:D866"/>
    <mergeCell ref="C872:D872"/>
    <mergeCell ref="C878:D878"/>
    <mergeCell ref="C843:D843"/>
    <mergeCell ref="C844:D844"/>
    <mergeCell ref="B847:B862"/>
    <mergeCell ref="C847:D847"/>
    <mergeCell ref="C848:D848"/>
    <mergeCell ref="C849:D849"/>
    <mergeCell ref="C855:D855"/>
    <mergeCell ref="C861:D861"/>
    <mergeCell ref="C819:D819"/>
    <mergeCell ref="C820:D820"/>
    <mergeCell ref="C821:D821"/>
    <mergeCell ref="C828:D828"/>
    <mergeCell ref="B838:B841"/>
    <mergeCell ref="C840:D840"/>
    <mergeCell ref="B809:B816"/>
    <mergeCell ref="C809:D809"/>
    <mergeCell ref="C810:D810"/>
    <mergeCell ref="C811:D811"/>
    <mergeCell ref="C814:D814"/>
    <mergeCell ref="C815:D815"/>
    <mergeCell ref="B800:B802"/>
    <mergeCell ref="C800:D800"/>
    <mergeCell ref="C801:D801"/>
    <mergeCell ref="B804:B806"/>
    <mergeCell ref="C804:D804"/>
    <mergeCell ref="C805:D805"/>
    <mergeCell ref="B791:B793"/>
    <mergeCell ref="C791:D791"/>
    <mergeCell ref="C792:D792"/>
    <mergeCell ref="B795:B797"/>
    <mergeCell ref="C795:D795"/>
    <mergeCell ref="C796:D796"/>
    <mergeCell ref="B783:B789"/>
    <mergeCell ref="C783:D783"/>
    <mergeCell ref="C784:D784"/>
    <mergeCell ref="C786:D786"/>
    <mergeCell ref="C787:D787"/>
    <mergeCell ref="C788:D788"/>
    <mergeCell ref="B779:B781"/>
    <mergeCell ref="C779:D779"/>
    <mergeCell ref="C780:D780"/>
    <mergeCell ref="A710:A711"/>
    <mergeCell ref="B711:B772"/>
    <mergeCell ref="C711:D711"/>
    <mergeCell ref="C712:D712"/>
    <mergeCell ref="C713:D713"/>
    <mergeCell ref="C716:D716"/>
    <mergeCell ref="C727:D727"/>
    <mergeCell ref="C731:D731"/>
    <mergeCell ref="C734:D734"/>
    <mergeCell ref="A767:A775"/>
    <mergeCell ref="C691:D691"/>
    <mergeCell ref="B696:B708"/>
    <mergeCell ref="C696:D696"/>
    <mergeCell ref="C697:D697"/>
    <mergeCell ref="C698:D698"/>
    <mergeCell ref="C704:D704"/>
    <mergeCell ref="C769:D769"/>
    <mergeCell ref="C770:D770"/>
    <mergeCell ref="C775:D775"/>
    <mergeCell ref="B629:B633"/>
    <mergeCell ref="C629:D629"/>
    <mergeCell ref="C630:D630"/>
    <mergeCell ref="C631:D631"/>
    <mergeCell ref="C636:D636"/>
    <mergeCell ref="B640:B686"/>
    <mergeCell ref="C640:D640"/>
    <mergeCell ref="C641:D641"/>
    <mergeCell ref="C642:D642"/>
    <mergeCell ref="C645:D645"/>
    <mergeCell ref="C654:D654"/>
    <mergeCell ref="C657:D657"/>
    <mergeCell ref="C684:D684"/>
    <mergeCell ref="C685:D685"/>
    <mergeCell ref="C548:D548"/>
    <mergeCell ref="C570:D570"/>
    <mergeCell ref="C573:D573"/>
    <mergeCell ref="C614:D614"/>
    <mergeCell ref="C615:D615"/>
    <mergeCell ref="B619:B627"/>
    <mergeCell ref="C623:D623"/>
    <mergeCell ref="C534:D534"/>
    <mergeCell ref="C535:D535"/>
    <mergeCell ref="C536:D536"/>
    <mergeCell ref="C539:D539"/>
    <mergeCell ref="C540:D540"/>
    <mergeCell ref="C541:D541"/>
    <mergeCell ref="C518:D518"/>
    <mergeCell ref="C521:D521"/>
    <mergeCell ref="C522:D522"/>
    <mergeCell ref="C523:D523"/>
    <mergeCell ref="C526:D526"/>
    <mergeCell ref="C532:D532"/>
    <mergeCell ref="C502:D502"/>
    <mergeCell ref="C503:D503"/>
    <mergeCell ref="C506:D506"/>
    <mergeCell ref="B510:B514"/>
    <mergeCell ref="C510:D510"/>
    <mergeCell ref="C511:D511"/>
    <mergeCell ref="C512:D512"/>
    <mergeCell ref="C463:D463"/>
    <mergeCell ref="C464:D464"/>
    <mergeCell ref="B472:B473"/>
    <mergeCell ref="C472:D472"/>
    <mergeCell ref="C473:D473"/>
    <mergeCell ref="C501:D501"/>
    <mergeCell ref="B443:B451"/>
    <mergeCell ref="C443:D443"/>
    <mergeCell ref="C444:D444"/>
    <mergeCell ref="C445:D445"/>
    <mergeCell ref="C455:D455"/>
    <mergeCell ref="C456:D456"/>
    <mergeCell ref="C407:D407"/>
    <mergeCell ref="C408:D408"/>
    <mergeCell ref="C415:D415"/>
    <mergeCell ref="C429:D429"/>
    <mergeCell ref="C432:D432"/>
    <mergeCell ref="B437:B440"/>
    <mergeCell ref="C437:D437"/>
    <mergeCell ref="C438:D438"/>
    <mergeCell ref="C439:D439"/>
    <mergeCell ref="C380:D380"/>
    <mergeCell ref="C399:D399"/>
    <mergeCell ref="C401:D401"/>
    <mergeCell ref="C402:D402"/>
    <mergeCell ref="C403:D403"/>
    <mergeCell ref="C406:D406"/>
    <mergeCell ref="C359:D359"/>
    <mergeCell ref="C360:D360"/>
    <mergeCell ref="C362:D362"/>
    <mergeCell ref="C371:D371"/>
    <mergeCell ref="C372:D372"/>
    <mergeCell ref="C373:D373"/>
    <mergeCell ref="C339:D339"/>
    <mergeCell ref="C340:D340"/>
    <mergeCell ref="C341:D341"/>
    <mergeCell ref="C344:D344"/>
    <mergeCell ref="B347:B356"/>
    <mergeCell ref="C347:D347"/>
    <mergeCell ref="C348:D348"/>
    <mergeCell ref="C349:D349"/>
    <mergeCell ref="C354:D354"/>
    <mergeCell ref="C323:D323"/>
    <mergeCell ref="C324:D324"/>
    <mergeCell ref="B327:B336"/>
    <mergeCell ref="C327:D327"/>
    <mergeCell ref="C328:D328"/>
    <mergeCell ref="C329:D329"/>
    <mergeCell ref="C334:D334"/>
    <mergeCell ref="C272:D272"/>
    <mergeCell ref="C279:D279"/>
    <mergeCell ref="C301:D301"/>
    <mergeCell ref="C304:D304"/>
    <mergeCell ref="C305:D305"/>
    <mergeCell ref="C314:D314"/>
    <mergeCell ref="B265:B268"/>
    <mergeCell ref="C265:D265"/>
    <mergeCell ref="C266:D266"/>
    <mergeCell ref="C267:D267"/>
    <mergeCell ref="C270:D270"/>
    <mergeCell ref="C271:D271"/>
    <mergeCell ref="C244:D244"/>
    <mergeCell ref="C245:D245"/>
    <mergeCell ref="C253:D253"/>
    <mergeCell ref="B261:B263"/>
    <mergeCell ref="C261:D261"/>
    <mergeCell ref="C262:D262"/>
    <mergeCell ref="B223:B242"/>
    <mergeCell ref="C223:D223"/>
    <mergeCell ref="C224:D224"/>
    <mergeCell ref="C225:D225"/>
    <mergeCell ref="C229:D229"/>
    <mergeCell ref="C233:D233"/>
    <mergeCell ref="C234:D234"/>
    <mergeCell ref="C239:D239"/>
    <mergeCell ref="C207:D207"/>
    <mergeCell ref="B211:B217"/>
    <mergeCell ref="C211:D211"/>
    <mergeCell ref="C212:D212"/>
    <mergeCell ref="C213:D213"/>
    <mergeCell ref="C219:D219"/>
    <mergeCell ref="C188:D188"/>
    <mergeCell ref="C196:D196"/>
    <mergeCell ref="C197:D197"/>
    <mergeCell ref="C198:D198"/>
    <mergeCell ref="B203:B205"/>
    <mergeCell ref="C203:D203"/>
    <mergeCell ref="C204:D204"/>
    <mergeCell ref="B156:B158"/>
    <mergeCell ref="C156:D156"/>
    <mergeCell ref="C157:D157"/>
    <mergeCell ref="B183:B186"/>
    <mergeCell ref="C183:D183"/>
    <mergeCell ref="C184:D184"/>
    <mergeCell ref="C137:D137"/>
    <mergeCell ref="C138:D138"/>
    <mergeCell ref="C139:D139"/>
    <mergeCell ref="C143:D143"/>
    <mergeCell ref="C144:D144"/>
    <mergeCell ref="C152:D152"/>
    <mergeCell ref="C122:D122"/>
    <mergeCell ref="C123:D123"/>
    <mergeCell ref="C126:D126"/>
    <mergeCell ref="C127:D127"/>
    <mergeCell ref="B130:B135"/>
    <mergeCell ref="C130:D130"/>
    <mergeCell ref="C131:D131"/>
    <mergeCell ref="C132:D132"/>
    <mergeCell ref="C86:D86"/>
    <mergeCell ref="C89:D89"/>
    <mergeCell ref="B92:B119"/>
    <mergeCell ref="C92:D92"/>
    <mergeCell ref="C93:D93"/>
    <mergeCell ref="C121:D121"/>
    <mergeCell ref="C47:D47"/>
    <mergeCell ref="C48:D48"/>
    <mergeCell ref="C55:D55"/>
    <mergeCell ref="B63:B90"/>
    <mergeCell ref="C63:D63"/>
    <mergeCell ref="C64:D64"/>
    <mergeCell ref="C65:D65"/>
    <mergeCell ref="C71:D71"/>
    <mergeCell ref="C82:D82"/>
    <mergeCell ref="C85:D85"/>
    <mergeCell ref="C19:D19"/>
    <mergeCell ref="C38:D38"/>
    <mergeCell ref="C39:D39"/>
    <mergeCell ref="C42:D42"/>
    <mergeCell ref="C43:D43"/>
    <mergeCell ref="C46:D46"/>
    <mergeCell ref="E1:E3"/>
    <mergeCell ref="A4:E4"/>
    <mergeCell ref="A5:D5"/>
    <mergeCell ref="B10:B12"/>
    <mergeCell ref="C10:D10"/>
    <mergeCell ref="C11:D11"/>
    <mergeCell ref="C12:D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Footer>Strona &amp;P z &amp;N</oddFooter>
  </headerFooter>
  <rowBreaks count="11" manualBreakCount="11">
    <brk id="220" max="4" man="1"/>
    <brk id="622" max="4" man="1"/>
    <brk id="680" max="4" man="1"/>
    <brk id="797" max="4" man="1"/>
    <brk id="910" max="4" man="1"/>
    <brk id="1034" max="4" man="1"/>
    <brk id="1086" max="4" man="1"/>
    <brk id="1188" max="4" man="1"/>
    <brk id="1476" max="4" man="1"/>
    <brk id="1525" max="4" man="1"/>
    <brk id="163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HR1505"/>
  <sheetViews>
    <sheetView view="pageBreakPreview" zoomScaleSheetLayoutView="100" workbookViewId="0">
      <pane ySplit="7" topLeftCell="A1485" activePane="bottomLeft" state="frozen"/>
      <selection activeCell="K119" sqref="K119"/>
      <selection pane="bottomLeft" activeCell="L3" sqref="L3"/>
    </sheetView>
  </sheetViews>
  <sheetFormatPr defaultRowHeight="12.75"/>
  <cols>
    <col min="1" max="1" width="3.5703125" style="1" customWidth="1"/>
    <col min="2" max="2" width="50.7109375" style="1" customWidth="1"/>
    <col min="3" max="4" width="7.7109375" style="123" customWidth="1"/>
    <col min="5" max="5" width="16.85546875" style="1" bestFit="1" customWidth="1"/>
    <col min="6" max="10" width="12.7109375" style="1" customWidth="1"/>
    <col min="11" max="11" width="11.42578125" style="1" bestFit="1" customWidth="1"/>
    <col min="12" max="12" width="11.140625" style="1" bestFit="1" customWidth="1"/>
    <col min="13" max="14" width="9.85546875" style="1" bestFit="1" customWidth="1"/>
    <col min="15" max="242" width="9.140625" style="1"/>
    <col min="243" max="243" width="4.28515625" style="1" bestFit="1" customWidth="1"/>
    <col min="244" max="244" width="6.85546875" style="1" bestFit="1" customWidth="1"/>
    <col min="245" max="245" width="11" style="1" customWidth="1"/>
    <col min="246" max="246" width="11.140625" style="1" bestFit="1" customWidth="1"/>
    <col min="247" max="247" width="10.85546875" style="1" customWidth="1"/>
    <col min="248" max="248" width="11.5703125" style="1" customWidth="1"/>
    <col min="249" max="249" width="11.140625" style="1" bestFit="1" customWidth="1"/>
    <col min="250" max="250" width="11" style="1" customWidth="1"/>
    <col min="251" max="251" width="10.42578125" style="1" customWidth="1"/>
    <col min="252" max="252" width="11.28515625" style="1" customWidth="1"/>
    <col min="253" max="254" width="9.140625" style="1" bestFit="1" customWidth="1"/>
    <col min="255" max="256" width="11.140625" style="1" bestFit="1" customWidth="1"/>
    <col min="257" max="257" width="11.5703125" style="1" bestFit="1" customWidth="1"/>
    <col min="258" max="258" width="9.140625" style="1" bestFit="1" customWidth="1"/>
    <col min="259" max="259" width="10.28515625" style="1" customWidth="1"/>
    <col min="260" max="498" width="9.140625" style="1"/>
    <col min="499" max="499" width="4.28515625" style="1" bestFit="1" customWidth="1"/>
    <col min="500" max="500" width="6.85546875" style="1" bestFit="1" customWidth="1"/>
    <col min="501" max="501" width="11" style="1" customWidth="1"/>
    <col min="502" max="502" width="11.140625" style="1" bestFit="1" customWidth="1"/>
    <col min="503" max="503" width="10.85546875" style="1" customWidth="1"/>
    <col min="504" max="504" width="11.5703125" style="1" customWidth="1"/>
    <col min="505" max="505" width="11.140625" style="1" bestFit="1" customWidth="1"/>
    <col min="506" max="506" width="11" style="1" customWidth="1"/>
    <col min="507" max="507" width="10.42578125" style="1" customWidth="1"/>
    <col min="508" max="508" width="11.28515625" style="1" customWidth="1"/>
    <col min="509" max="510" width="9.140625" style="1" bestFit="1" customWidth="1"/>
    <col min="511" max="512" width="11.140625" style="1" bestFit="1" customWidth="1"/>
    <col min="513" max="513" width="11.5703125" style="1" bestFit="1" customWidth="1"/>
    <col min="514" max="514" width="9.140625" style="1" bestFit="1" customWidth="1"/>
    <col min="515" max="515" width="10.28515625" style="1" customWidth="1"/>
    <col min="516" max="754" width="9.140625" style="1"/>
    <col min="755" max="755" width="4.28515625" style="1" bestFit="1" customWidth="1"/>
    <col min="756" max="756" width="6.85546875" style="1" bestFit="1" customWidth="1"/>
    <col min="757" max="757" width="11" style="1" customWidth="1"/>
    <col min="758" max="758" width="11.140625" style="1" bestFit="1" customWidth="1"/>
    <col min="759" max="759" width="10.85546875" style="1" customWidth="1"/>
    <col min="760" max="760" width="11.5703125" style="1" customWidth="1"/>
    <col min="761" max="761" width="11.140625" style="1" bestFit="1" customWidth="1"/>
    <col min="762" max="762" width="11" style="1" customWidth="1"/>
    <col min="763" max="763" width="10.42578125" style="1" customWidth="1"/>
    <col min="764" max="764" width="11.28515625" style="1" customWidth="1"/>
    <col min="765" max="766" width="9.140625" style="1" bestFit="1" customWidth="1"/>
    <col min="767" max="768" width="11.140625" style="1" bestFit="1" customWidth="1"/>
    <col min="769" max="769" width="11.5703125" style="1" bestFit="1" customWidth="1"/>
    <col min="770" max="770" width="9.140625" style="1" bestFit="1" customWidth="1"/>
    <col min="771" max="771" width="10.28515625" style="1" customWidth="1"/>
    <col min="772" max="1010" width="9.140625" style="1"/>
    <col min="1011" max="1011" width="4.28515625" style="1" bestFit="1" customWidth="1"/>
    <col min="1012" max="1012" width="6.85546875" style="1" bestFit="1" customWidth="1"/>
    <col min="1013" max="1013" width="11" style="1" customWidth="1"/>
    <col min="1014" max="1014" width="11.140625" style="1" bestFit="1" customWidth="1"/>
    <col min="1015" max="1015" width="10.85546875" style="1" customWidth="1"/>
    <col min="1016" max="1016" width="11.5703125" style="1" customWidth="1"/>
    <col min="1017" max="1017" width="11.140625" style="1" bestFit="1" customWidth="1"/>
    <col min="1018" max="1018" width="11" style="1" customWidth="1"/>
    <col min="1019" max="1019" width="10.42578125" style="1" customWidth="1"/>
    <col min="1020" max="1020" width="11.28515625" style="1" customWidth="1"/>
    <col min="1021" max="1022" width="9.140625" style="1" bestFit="1" customWidth="1"/>
    <col min="1023" max="1024" width="11.140625" style="1" bestFit="1" customWidth="1"/>
    <col min="1025" max="1025" width="11.5703125" style="1" bestFit="1" customWidth="1"/>
    <col min="1026" max="1026" width="9.140625" style="1" bestFit="1" customWidth="1"/>
    <col min="1027" max="1027" width="10.28515625" style="1" customWidth="1"/>
    <col min="1028" max="1266" width="9.140625" style="1"/>
    <col min="1267" max="1267" width="4.28515625" style="1" bestFit="1" customWidth="1"/>
    <col min="1268" max="1268" width="6.85546875" style="1" bestFit="1" customWidth="1"/>
    <col min="1269" max="1269" width="11" style="1" customWidth="1"/>
    <col min="1270" max="1270" width="11.140625" style="1" bestFit="1" customWidth="1"/>
    <col min="1271" max="1271" width="10.85546875" style="1" customWidth="1"/>
    <col min="1272" max="1272" width="11.5703125" style="1" customWidth="1"/>
    <col min="1273" max="1273" width="11.140625" style="1" bestFit="1" customWidth="1"/>
    <col min="1274" max="1274" width="11" style="1" customWidth="1"/>
    <col min="1275" max="1275" width="10.42578125" style="1" customWidth="1"/>
    <col min="1276" max="1276" width="11.28515625" style="1" customWidth="1"/>
    <col min="1277" max="1278" width="9.140625" style="1" bestFit="1" customWidth="1"/>
    <col min="1279" max="1280" width="11.140625" style="1" bestFit="1" customWidth="1"/>
    <col min="1281" max="1281" width="11.5703125" style="1" bestFit="1" customWidth="1"/>
    <col min="1282" max="1282" width="9.140625" style="1" bestFit="1" customWidth="1"/>
    <col min="1283" max="1283" width="10.28515625" style="1" customWidth="1"/>
    <col min="1284" max="1522" width="9.140625" style="1"/>
    <col min="1523" max="1523" width="4.28515625" style="1" bestFit="1" customWidth="1"/>
    <col min="1524" max="1524" width="6.85546875" style="1" bestFit="1" customWidth="1"/>
    <col min="1525" max="1525" width="11" style="1" customWidth="1"/>
    <col min="1526" max="1526" width="11.140625" style="1" bestFit="1" customWidth="1"/>
    <col min="1527" max="1527" width="10.85546875" style="1" customWidth="1"/>
    <col min="1528" max="1528" width="11.5703125" style="1" customWidth="1"/>
    <col min="1529" max="1529" width="11.140625" style="1" bestFit="1" customWidth="1"/>
    <col min="1530" max="1530" width="11" style="1" customWidth="1"/>
    <col min="1531" max="1531" width="10.42578125" style="1" customWidth="1"/>
    <col min="1532" max="1532" width="11.28515625" style="1" customWidth="1"/>
    <col min="1533" max="1534" width="9.140625" style="1" bestFit="1" customWidth="1"/>
    <col min="1535" max="1536" width="11.140625" style="1" bestFit="1" customWidth="1"/>
    <col min="1537" max="1537" width="11.5703125" style="1" bestFit="1" customWidth="1"/>
    <col min="1538" max="1538" width="9.140625" style="1" bestFit="1" customWidth="1"/>
    <col min="1539" max="1539" width="10.28515625" style="1" customWidth="1"/>
    <col min="1540" max="1778" width="9.140625" style="1"/>
    <col min="1779" max="1779" width="4.28515625" style="1" bestFit="1" customWidth="1"/>
    <col min="1780" max="1780" width="6.85546875" style="1" bestFit="1" customWidth="1"/>
    <col min="1781" max="1781" width="11" style="1" customWidth="1"/>
    <col min="1782" max="1782" width="11.140625" style="1" bestFit="1" customWidth="1"/>
    <col min="1783" max="1783" width="10.85546875" style="1" customWidth="1"/>
    <col min="1784" max="1784" width="11.5703125" style="1" customWidth="1"/>
    <col min="1785" max="1785" width="11.140625" style="1" bestFit="1" customWidth="1"/>
    <col min="1786" max="1786" width="11" style="1" customWidth="1"/>
    <col min="1787" max="1787" width="10.42578125" style="1" customWidth="1"/>
    <col min="1788" max="1788" width="11.28515625" style="1" customWidth="1"/>
    <col min="1789" max="1790" width="9.140625" style="1" bestFit="1" customWidth="1"/>
    <col min="1791" max="1792" width="11.140625" style="1" bestFit="1" customWidth="1"/>
    <col min="1793" max="1793" width="11.5703125" style="1" bestFit="1" customWidth="1"/>
    <col min="1794" max="1794" width="9.140625" style="1" bestFit="1" customWidth="1"/>
    <col min="1795" max="1795" width="10.28515625" style="1" customWidth="1"/>
    <col min="1796" max="2034" width="9.140625" style="1"/>
    <col min="2035" max="2035" width="4.28515625" style="1" bestFit="1" customWidth="1"/>
    <col min="2036" max="2036" width="6.85546875" style="1" bestFit="1" customWidth="1"/>
    <col min="2037" max="2037" width="11" style="1" customWidth="1"/>
    <col min="2038" max="2038" width="11.140625" style="1" bestFit="1" customWidth="1"/>
    <col min="2039" max="2039" width="10.85546875" style="1" customWidth="1"/>
    <col min="2040" max="2040" width="11.5703125" style="1" customWidth="1"/>
    <col min="2041" max="2041" width="11.140625" style="1" bestFit="1" customWidth="1"/>
    <col min="2042" max="2042" width="11" style="1" customWidth="1"/>
    <col min="2043" max="2043" width="10.42578125" style="1" customWidth="1"/>
    <col min="2044" max="2044" width="11.28515625" style="1" customWidth="1"/>
    <col min="2045" max="2046" width="9.140625" style="1" bestFit="1" customWidth="1"/>
    <col min="2047" max="2048" width="11.140625" style="1" bestFit="1" customWidth="1"/>
    <col min="2049" max="2049" width="11.5703125" style="1" bestFit="1" customWidth="1"/>
    <col min="2050" max="2050" width="9.140625" style="1" bestFit="1" customWidth="1"/>
    <col min="2051" max="2051" width="10.28515625" style="1" customWidth="1"/>
    <col min="2052" max="2290" width="9.140625" style="1"/>
    <col min="2291" max="2291" width="4.28515625" style="1" bestFit="1" customWidth="1"/>
    <col min="2292" max="2292" width="6.85546875" style="1" bestFit="1" customWidth="1"/>
    <col min="2293" max="2293" width="11" style="1" customWidth="1"/>
    <col min="2294" max="2294" width="11.140625" style="1" bestFit="1" customWidth="1"/>
    <col min="2295" max="2295" width="10.85546875" style="1" customWidth="1"/>
    <col min="2296" max="2296" width="11.5703125" style="1" customWidth="1"/>
    <col min="2297" max="2297" width="11.140625" style="1" bestFit="1" customWidth="1"/>
    <col min="2298" max="2298" width="11" style="1" customWidth="1"/>
    <col min="2299" max="2299" width="10.42578125" style="1" customWidth="1"/>
    <col min="2300" max="2300" width="11.28515625" style="1" customWidth="1"/>
    <col min="2301" max="2302" width="9.140625" style="1" bestFit="1" customWidth="1"/>
    <col min="2303" max="2304" width="11.140625" style="1" bestFit="1" customWidth="1"/>
    <col min="2305" max="2305" width="11.5703125" style="1" bestFit="1" customWidth="1"/>
    <col min="2306" max="2306" width="9.140625" style="1" bestFit="1" customWidth="1"/>
    <col min="2307" max="2307" width="10.28515625" style="1" customWidth="1"/>
    <col min="2308" max="2546" width="9.140625" style="1"/>
    <col min="2547" max="2547" width="4.28515625" style="1" bestFit="1" customWidth="1"/>
    <col min="2548" max="2548" width="6.85546875" style="1" bestFit="1" customWidth="1"/>
    <col min="2549" max="2549" width="11" style="1" customWidth="1"/>
    <col min="2550" max="2550" width="11.140625" style="1" bestFit="1" customWidth="1"/>
    <col min="2551" max="2551" width="10.85546875" style="1" customWidth="1"/>
    <col min="2552" max="2552" width="11.5703125" style="1" customWidth="1"/>
    <col min="2553" max="2553" width="11.140625" style="1" bestFit="1" customWidth="1"/>
    <col min="2554" max="2554" width="11" style="1" customWidth="1"/>
    <col min="2555" max="2555" width="10.42578125" style="1" customWidth="1"/>
    <col min="2556" max="2556" width="11.28515625" style="1" customWidth="1"/>
    <col min="2557" max="2558" width="9.140625" style="1" bestFit="1" customWidth="1"/>
    <col min="2559" max="2560" width="11.140625" style="1" bestFit="1" customWidth="1"/>
    <col min="2561" max="2561" width="11.5703125" style="1" bestFit="1" customWidth="1"/>
    <col min="2562" max="2562" width="9.140625" style="1" bestFit="1" customWidth="1"/>
    <col min="2563" max="2563" width="10.28515625" style="1" customWidth="1"/>
    <col min="2564" max="2802" width="9.140625" style="1"/>
    <col min="2803" max="2803" width="4.28515625" style="1" bestFit="1" customWidth="1"/>
    <col min="2804" max="2804" width="6.85546875" style="1" bestFit="1" customWidth="1"/>
    <col min="2805" max="2805" width="11" style="1" customWidth="1"/>
    <col min="2806" max="2806" width="11.140625" style="1" bestFit="1" customWidth="1"/>
    <col min="2807" max="2807" width="10.85546875" style="1" customWidth="1"/>
    <col min="2808" max="2808" width="11.5703125" style="1" customWidth="1"/>
    <col min="2809" max="2809" width="11.140625" style="1" bestFit="1" customWidth="1"/>
    <col min="2810" max="2810" width="11" style="1" customWidth="1"/>
    <col min="2811" max="2811" width="10.42578125" style="1" customWidth="1"/>
    <col min="2812" max="2812" width="11.28515625" style="1" customWidth="1"/>
    <col min="2813" max="2814" width="9.140625" style="1" bestFit="1" customWidth="1"/>
    <col min="2815" max="2816" width="11.140625" style="1" bestFit="1" customWidth="1"/>
    <col min="2817" max="2817" width="11.5703125" style="1" bestFit="1" customWidth="1"/>
    <col min="2818" max="2818" width="9.140625" style="1" bestFit="1" customWidth="1"/>
    <col min="2819" max="2819" width="10.28515625" style="1" customWidth="1"/>
    <col min="2820" max="3058" width="9.140625" style="1"/>
    <col min="3059" max="3059" width="4.28515625" style="1" bestFit="1" customWidth="1"/>
    <col min="3060" max="3060" width="6.85546875" style="1" bestFit="1" customWidth="1"/>
    <col min="3061" max="3061" width="11" style="1" customWidth="1"/>
    <col min="3062" max="3062" width="11.140625" style="1" bestFit="1" customWidth="1"/>
    <col min="3063" max="3063" width="10.85546875" style="1" customWidth="1"/>
    <col min="3064" max="3064" width="11.5703125" style="1" customWidth="1"/>
    <col min="3065" max="3065" width="11.140625" style="1" bestFit="1" customWidth="1"/>
    <col min="3066" max="3066" width="11" style="1" customWidth="1"/>
    <col min="3067" max="3067" width="10.42578125" style="1" customWidth="1"/>
    <col min="3068" max="3068" width="11.28515625" style="1" customWidth="1"/>
    <col min="3069" max="3070" width="9.140625" style="1" bestFit="1" customWidth="1"/>
    <col min="3071" max="3072" width="11.140625" style="1" bestFit="1" customWidth="1"/>
    <col min="3073" max="3073" width="11.5703125" style="1" bestFit="1" customWidth="1"/>
    <col min="3074" max="3074" width="9.140625" style="1" bestFit="1" customWidth="1"/>
    <col min="3075" max="3075" width="10.28515625" style="1" customWidth="1"/>
    <col min="3076" max="3314" width="9.140625" style="1"/>
    <col min="3315" max="3315" width="4.28515625" style="1" bestFit="1" customWidth="1"/>
    <col min="3316" max="3316" width="6.85546875" style="1" bestFit="1" customWidth="1"/>
    <col min="3317" max="3317" width="11" style="1" customWidth="1"/>
    <col min="3318" max="3318" width="11.140625" style="1" bestFit="1" customWidth="1"/>
    <col min="3319" max="3319" width="10.85546875" style="1" customWidth="1"/>
    <col min="3320" max="3320" width="11.5703125" style="1" customWidth="1"/>
    <col min="3321" max="3321" width="11.140625" style="1" bestFit="1" customWidth="1"/>
    <col min="3322" max="3322" width="11" style="1" customWidth="1"/>
    <col min="3323" max="3323" width="10.42578125" style="1" customWidth="1"/>
    <col min="3324" max="3324" width="11.28515625" style="1" customWidth="1"/>
    <col min="3325" max="3326" width="9.140625" style="1" bestFit="1" customWidth="1"/>
    <col min="3327" max="3328" width="11.140625" style="1" bestFit="1" customWidth="1"/>
    <col min="3329" max="3329" width="11.5703125" style="1" bestFit="1" customWidth="1"/>
    <col min="3330" max="3330" width="9.140625" style="1" bestFit="1" customWidth="1"/>
    <col min="3331" max="3331" width="10.28515625" style="1" customWidth="1"/>
    <col min="3332" max="3570" width="9.140625" style="1"/>
    <col min="3571" max="3571" width="4.28515625" style="1" bestFit="1" customWidth="1"/>
    <col min="3572" max="3572" width="6.85546875" style="1" bestFit="1" customWidth="1"/>
    <col min="3573" max="3573" width="11" style="1" customWidth="1"/>
    <col min="3574" max="3574" width="11.140625" style="1" bestFit="1" customWidth="1"/>
    <col min="3575" max="3575" width="10.85546875" style="1" customWidth="1"/>
    <col min="3576" max="3576" width="11.5703125" style="1" customWidth="1"/>
    <col min="3577" max="3577" width="11.140625" style="1" bestFit="1" customWidth="1"/>
    <col min="3578" max="3578" width="11" style="1" customWidth="1"/>
    <col min="3579" max="3579" width="10.42578125" style="1" customWidth="1"/>
    <col min="3580" max="3580" width="11.28515625" style="1" customWidth="1"/>
    <col min="3581" max="3582" width="9.140625" style="1" bestFit="1" customWidth="1"/>
    <col min="3583" max="3584" width="11.140625" style="1" bestFit="1" customWidth="1"/>
    <col min="3585" max="3585" width="11.5703125" style="1" bestFit="1" customWidth="1"/>
    <col min="3586" max="3586" width="9.140625" style="1" bestFit="1" customWidth="1"/>
    <col min="3587" max="3587" width="10.28515625" style="1" customWidth="1"/>
    <col min="3588" max="3826" width="9.140625" style="1"/>
    <col min="3827" max="3827" width="4.28515625" style="1" bestFit="1" customWidth="1"/>
    <col min="3828" max="3828" width="6.85546875" style="1" bestFit="1" customWidth="1"/>
    <col min="3829" max="3829" width="11" style="1" customWidth="1"/>
    <col min="3830" max="3830" width="11.140625" style="1" bestFit="1" customWidth="1"/>
    <col min="3831" max="3831" width="10.85546875" style="1" customWidth="1"/>
    <col min="3832" max="3832" width="11.5703125" style="1" customWidth="1"/>
    <col min="3833" max="3833" width="11.140625" style="1" bestFit="1" customWidth="1"/>
    <col min="3834" max="3834" width="11" style="1" customWidth="1"/>
    <col min="3835" max="3835" width="10.42578125" style="1" customWidth="1"/>
    <col min="3836" max="3836" width="11.28515625" style="1" customWidth="1"/>
    <col min="3837" max="3838" width="9.140625" style="1" bestFit="1" customWidth="1"/>
    <col min="3839" max="3840" width="11.140625" style="1" bestFit="1" customWidth="1"/>
    <col min="3841" max="3841" width="11.5703125" style="1" bestFit="1" customWidth="1"/>
    <col min="3842" max="3842" width="9.140625" style="1" bestFit="1" customWidth="1"/>
    <col min="3843" max="3843" width="10.28515625" style="1" customWidth="1"/>
    <col min="3844" max="4082" width="9.140625" style="1"/>
    <col min="4083" max="4083" width="4.28515625" style="1" bestFit="1" customWidth="1"/>
    <col min="4084" max="4084" width="6.85546875" style="1" bestFit="1" customWidth="1"/>
    <col min="4085" max="4085" width="11" style="1" customWidth="1"/>
    <col min="4086" max="4086" width="11.140625" style="1" bestFit="1" customWidth="1"/>
    <col min="4087" max="4087" width="10.85546875" style="1" customWidth="1"/>
    <col min="4088" max="4088" width="11.5703125" style="1" customWidth="1"/>
    <col min="4089" max="4089" width="11.140625" style="1" bestFit="1" customWidth="1"/>
    <col min="4090" max="4090" width="11" style="1" customWidth="1"/>
    <col min="4091" max="4091" width="10.42578125" style="1" customWidth="1"/>
    <col min="4092" max="4092" width="11.28515625" style="1" customWidth="1"/>
    <col min="4093" max="4094" width="9.140625" style="1" bestFit="1" customWidth="1"/>
    <col min="4095" max="4096" width="11.140625" style="1" bestFit="1" customWidth="1"/>
    <col min="4097" max="4097" width="11.5703125" style="1" bestFit="1" customWidth="1"/>
    <col min="4098" max="4098" width="9.140625" style="1" bestFit="1" customWidth="1"/>
    <col min="4099" max="4099" width="10.28515625" style="1" customWidth="1"/>
    <col min="4100" max="4338" width="9.140625" style="1"/>
    <col min="4339" max="4339" width="4.28515625" style="1" bestFit="1" customWidth="1"/>
    <col min="4340" max="4340" width="6.85546875" style="1" bestFit="1" customWidth="1"/>
    <col min="4341" max="4341" width="11" style="1" customWidth="1"/>
    <col min="4342" max="4342" width="11.140625" style="1" bestFit="1" customWidth="1"/>
    <col min="4343" max="4343" width="10.85546875" style="1" customWidth="1"/>
    <col min="4344" max="4344" width="11.5703125" style="1" customWidth="1"/>
    <col min="4345" max="4345" width="11.140625" style="1" bestFit="1" customWidth="1"/>
    <col min="4346" max="4346" width="11" style="1" customWidth="1"/>
    <col min="4347" max="4347" width="10.42578125" style="1" customWidth="1"/>
    <col min="4348" max="4348" width="11.28515625" style="1" customWidth="1"/>
    <col min="4349" max="4350" width="9.140625" style="1" bestFit="1" customWidth="1"/>
    <col min="4351" max="4352" width="11.140625" style="1" bestFit="1" customWidth="1"/>
    <col min="4353" max="4353" width="11.5703125" style="1" bestFit="1" customWidth="1"/>
    <col min="4354" max="4354" width="9.140625" style="1" bestFit="1" customWidth="1"/>
    <col min="4355" max="4355" width="10.28515625" style="1" customWidth="1"/>
    <col min="4356" max="4594" width="9.140625" style="1"/>
    <col min="4595" max="4595" width="4.28515625" style="1" bestFit="1" customWidth="1"/>
    <col min="4596" max="4596" width="6.85546875" style="1" bestFit="1" customWidth="1"/>
    <col min="4597" max="4597" width="11" style="1" customWidth="1"/>
    <col min="4598" max="4598" width="11.140625" style="1" bestFit="1" customWidth="1"/>
    <col min="4599" max="4599" width="10.85546875" style="1" customWidth="1"/>
    <col min="4600" max="4600" width="11.5703125" style="1" customWidth="1"/>
    <col min="4601" max="4601" width="11.140625" style="1" bestFit="1" customWidth="1"/>
    <col min="4602" max="4602" width="11" style="1" customWidth="1"/>
    <col min="4603" max="4603" width="10.42578125" style="1" customWidth="1"/>
    <col min="4604" max="4604" width="11.28515625" style="1" customWidth="1"/>
    <col min="4605" max="4606" width="9.140625" style="1" bestFit="1" customWidth="1"/>
    <col min="4607" max="4608" width="11.140625" style="1" bestFit="1" customWidth="1"/>
    <col min="4609" max="4609" width="11.5703125" style="1" bestFit="1" customWidth="1"/>
    <col min="4610" max="4610" width="9.140625" style="1" bestFit="1" customWidth="1"/>
    <col min="4611" max="4611" width="10.28515625" style="1" customWidth="1"/>
    <col min="4612" max="4850" width="9.140625" style="1"/>
    <col min="4851" max="4851" width="4.28515625" style="1" bestFit="1" customWidth="1"/>
    <col min="4852" max="4852" width="6.85546875" style="1" bestFit="1" customWidth="1"/>
    <col min="4853" max="4853" width="11" style="1" customWidth="1"/>
    <col min="4854" max="4854" width="11.140625" style="1" bestFit="1" customWidth="1"/>
    <col min="4855" max="4855" width="10.85546875" style="1" customWidth="1"/>
    <col min="4856" max="4856" width="11.5703125" style="1" customWidth="1"/>
    <col min="4857" max="4857" width="11.140625" style="1" bestFit="1" customWidth="1"/>
    <col min="4858" max="4858" width="11" style="1" customWidth="1"/>
    <col min="4859" max="4859" width="10.42578125" style="1" customWidth="1"/>
    <col min="4860" max="4860" width="11.28515625" style="1" customWidth="1"/>
    <col min="4861" max="4862" width="9.140625" style="1" bestFit="1" customWidth="1"/>
    <col min="4863" max="4864" width="11.140625" style="1" bestFit="1" customWidth="1"/>
    <col min="4865" max="4865" width="11.5703125" style="1" bestFit="1" customWidth="1"/>
    <col min="4866" max="4866" width="9.140625" style="1" bestFit="1" customWidth="1"/>
    <col min="4867" max="4867" width="10.28515625" style="1" customWidth="1"/>
    <col min="4868" max="5106" width="9.140625" style="1"/>
    <col min="5107" max="5107" width="4.28515625" style="1" bestFit="1" customWidth="1"/>
    <col min="5108" max="5108" width="6.85546875" style="1" bestFit="1" customWidth="1"/>
    <col min="5109" max="5109" width="11" style="1" customWidth="1"/>
    <col min="5110" max="5110" width="11.140625" style="1" bestFit="1" customWidth="1"/>
    <col min="5111" max="5111" width="10.85546875" style="1" customWidth="1"/>
    <col min="5112" max="5112" width="11.5703125" style="1" customWidth="1"/>
    <col min="5113" max="5113" width="11.140625" style="1" bestFit="1" customWidth="1"/>
    <col min="5114" max="5114" width="11" style="1" customWidth="1"/>
    <col min="5115" max="5115" width="10.42578125" style="1" customWidth="1"/>
    <col min="5116" max="5116" width="11.28515625" style="1" customWidth="1"/>
    <col min="5117" max="5118" width="9.140625" style="1" bestFit="1" customWidth="1"/>
    <col min="5119" max="5120" width="11.140625" style="1" bestFit="1" customWidth="1"/>
    <col min="5121" max="5121" width="11.5703125" style="1" bestFit="1" customWidth="1"/>
    <col min="5122" max="5122" width="9.140625" style="1" bestFit="1" customWidth="1"/>
    <col min="5123" max="5123" width="10.28515625" style="1" customWidth="1"/>
    <col min="5124" max="5362" width="9.140625" style="1"/>
    <col min="5363" max="5363" width="4.28515625" style="1" bestFit="1" customWidth="1"/>
    <col min="5364" max="5364" width="6.85546875" style="1" bestFit="1" customWidth="1"/>
    <col min="5365" max="5365" width="11" style="1" customWidth="1"/>
    <col min="5366" max="5366" width="11.140625" style="1" bestFit="1" customWidth="1"/>
    <col min="5367" max="5367" width="10.85546875" style="1" customWidth="1"/>
    <col min="5368" max="5368" width="11.5703125" style="1" customWidth="1"/>
    <col min="5369" max="5369" width="11.140625" style="1" bestFit="1" customWidth="1"/>
    <col min="5370" max="5370" width="11" style="1" customWidth="1"/>
    <col min="5371" max="5371" width="10.42578125" style="1" customWidth="1"/>
    <col min="5372" max="5372" width="11.28515625" style="1" customWidth="1"/>
    <col min="5373" max="5374" width="9.140625" style="1" bestFit="1" customWidth="1"/>
    <col min="5375" max="5376" width="11.140625" style="1" bestFit="1" customWidth="1"/>
    <col min="5377" max="5377" width="11.5703125" style="1" bestFit="1" customWidth="1"/>
    <col min="5378" max="5378" width="9.140625" style="1" bestFit="1" customWidth="1"/>
    <col min="5379" max="5379" width="10.28515625" style="1" customWidth="1"/>
    <col min="5380" max="5618" width="9.140625" style="1"/>
    <col min="5619" max="5619" width="4.28515625" style="1" bestFit="1" customWidth="1"/>
    <col min="5620" max="5620" width="6.85546875" style="1" bestFit="1" customWidth="1"/>
    <col min="5621" max="5621" width="11" style="1" customWidth="1"/>
    <col min="5622" max="5622" width="11.140625" style="1" bestFit="1" customWidth="1"/>
    <col min="5623" max="5623" width="10.85546875" style="1" customWidth="1"/>
    <col min="5624" max="5624" width="11.5703125" style="1" customWidth="1"/>
    <col min="5625" max="5625" width="11.140625" style="1" bestFit="1" customWidth="1"/>
    <col min="5626" max="5626" width="11" style="1" customWidth="1"/>
    <col min="5627" max="5627" width="10.42578125" style="1" customWidth="1"/>
    <col min="5628" max="5628" width="11.28515625" style="1" customWidth="1"/>
    <col min="5629" max="5630" width="9.140625" style="1" bestFit="1" customWidth="1"/>
    <col min="5631" max="5632" width="11.140625" style="1" bestFit="1" customWidth="1"/>
    <col min="5633" max="5633" width="11.5703125" style="1" bestFit="1" customWidth="1"/>
    <col min="5634" max="5634" width="9.140625" style="1" bestFit="1" customWidth="1"/>
    <col min="5635" max="5635" width="10.28515625" style="1" customWidth="1"/>
    <col min="5636" max="5874" width="9.140625" style="1"/>
    <col min="5875" max="5875" width="4.28515625" style="1" bestFit="1" customWidth="1"/>
    <col min="5876" max="5876" width="6.85546875" style="1" bestFit="1" customWidth="1"/>
    <col min="5877" max="5877" width="11" style="1" customWidth="1"/>
    <col min="5878" max="5878" width="11.140625" style="1" bestFit="1" customWidth="1"/>
    <col min="5879" max="5879" width="10.85546875" style="1" customWidth="1"/>
    <col min="5880" max="5880" width="11.5703125" style="1" customWidth="1"/>
    <col min="5881" max="5881" width="11.140625" style="1" bestFit="1" customWidth="1"/>
    <col min="5882" max="5882" width="11" style="1" customWidth="1"/>
    <col min="5883" max="5883" width="10.42578125" style="1" customWidth="1"/>
    <col min="5884" max="5884" width="11.28515625" style="1" customWidth="1"/>
    <col min="5885" max="5886" width="9.140625" style="1" bestFit="1" customWidth="1"/>
    <col min="5887" max="5888" width="11.140625" style="1" bestFit="1" customWidth="1"/>
    <col min="5889" max="5889" width="11.5703125" style="1" bestFit="1" customWidth="1"/>
    <col min="5890" max="5890" width="9.140625" style="1" bestFit="1" customWidth="1"/>
    <col min="5891" max="5891" width="10.28515625" style="1" customWidth="1"/>
    <col min="5892" max="6130" width="9.140625" style="1"/>
    <col min="6131" max="6131" width="4.28515625" style="1" bestFit="1" customWidth="1"/>
    <col min="6132" max="6132" width="6.85546875" style="1" bestFit="1" customWidth="1"/>
    <col min="6133" max="6133" width="11" style="1" customWidth="1"/>
    <col min="6134" max="6134" width="11.140625" style="1" bestFit="1" customWidth="1"/>
    <col min="6135" max="6135" width="10.85546875" style="1" customWidth="1"/>
    <col min="6136" max="6136" width="11.5703125" style="1" customWidth="1"/>
    <col min="6137" max="6137" width="11.140625" style="1" bestFit="1" customWidth="1"/>
    <col min="6138" max="6138" width="11" style="1" customWidth="1"/>
    <col min="6139" max="6139" width="10.42578125" style="1" customWidth="1"/>
    <col min="6140" max="6140" width="11.28515625" style="1" customWidth="1"/>
    <col min="6141" max="6142" width="9.140625" style="1" bestFit="1" customWidth="1"/>
    <col min="6143" max="6144" width="11.140625" style="1" bestFit="1" customWidth="1"/>
    <col min="6145" max="6145" width="11.5703125" style="1" bestFit="1" customWidth="1"/>
    <col min="6146" max="6146" width="9.140625" style="1" bestFit="1" customWidth="1"/>
    <col min="6147" max="6147" width="10.28515625" style="1" customWidth="1"/>
    <col min="6148" max="6386" width="9.140625" style="1"/>
    <col min="6387" max="6387" width="4.28515625" style="1" bestFit="1" customWidth="1"/>
    <col min="6388" max="6388" width="6.85546875" style="1" bestFit="1" customWidth="1"/>
    <col min="6389" max="6389" width="11" style="1" customWidth="1"/>
    <col min="6390" max="6390" width="11.140625" style="1" bestFit="1" customWidth="1"/>
    <col min="6391" max="6391" width="10.85546875" style="1" customWidth="1"/>
    <col min="6392" max="6392" width="11.5703125" style="1" customWidth="1"/>
    <col min="6393" max="6393" width="11.140625" style="1" bestFit="1" customWidth="1"/>
    <col min="6394" max="6394" width="11" style="1" customWidth="1"/>
    <col min="6395" max="6395" width="10.42578125" style="1" customWidth="1"/>
    <col min="6396" max="6396" width="11.28515625" style="1" customWidth="1"/>
    <col min="6397" max="6398" width="9.140625" style="1" bestFit="1" customWidth="1"/>
    <col min="6399" max="6400" width="11.140625" style="1" bestFit="1" customWidth="1"/>
    <col min="6401" max="6401" width="11.5703125" style="1" bestFit="1" customWidth="1"/>
    <col min="6402" max="6402" width="9.140625" style="1" bestFit="1" customWidth="1"/>
    <col min="6403" max="6403" width="10.28515625" style="1" customWidth="1"/>
    <col min="6404" max="6642" width="9.140625" style="1"/>
    <col min="6643" max="6643" width="4.28515625" style="1" bestFit="1" customWidth="1"/>
    <col min="6644" max="6644" width="6.85546875" style="1" bestFit="1" customWidth="1"/>
    <col min="6645" max="6645" width="11" style="1" customWidth="1"/>
    <col min="6646" max="6646" width="11.140625" style="1" bestFit="1" customWidth="1"/>
    <col min="6647" max="6647" width="10.85546875" style="1" customWidth="1"/>
    <col min="6648" max="6648" width="11.5703125" style="1" customWidth="1"/>
    <col min="6649" max="6649" width="11.140625" style="1" bestFit="1" customWidth="1"/>
    <col min="6650" max="6650" width="11" style="1" customWidth="1"/>
    <col min="6651" max="6651" width="10.42578125" style="1" customWidth="1"/>
    <col min="6652" max="6652" width="11.28515625" style="1" customWidth="1"/>
    <col min="6653" max="6654" width="9.140625" style="1" bestFit="1" customWidth="1"/>
    <col min="6655" max="6656" width="11.140625" style="1" bestFit="1" customWidth="1"/>
    <col min="6657" max="6657" width="11.5703125" style="1" bestFit="1" customWidth="1"/>
    <col min="6658" max="6658" width="9.140625" style="1" bestFit="1" customWidth="1"/>
    <col min="6659" max="6659" width="10.28515625" style="1" customWidth="1"/>
    <col min="6660" max="6898" width="9.140625" style="1"/>
    <col min="6899" max="6899" width="4.28515625" style="1" bestFit="1" customWidth="1"/>
    <col min="6900" max="6900" width="6.85546875" style="1" bestFit="1" customWidth="1"/>
    <col min="6901" max="6901" width="11" style="1" customWidth="1"/>
    <col min="6902" max="6902" width="11.140625" style="1" bestFit="1" customWidth="1"/>
    <col min="6903" max="6903" width="10.85546875" style="1" customWidth="1"/>
    <col min="6904" max="6904" width="11.5703125" style="1" customWidth="1"/>
    <col min="6905" max="6905" width="11.140625" style="1" bestFit="1" customWidth="1"/>
    <col min="6906" max="6906" width="11" style="1" customWidth="1"/>
    <col min="6907" max="6907" width="10.42578125" style="1" customWidth="1"/>
    <col min="6908" max="6908" width="11.28515625" style="1" customWidth="1"/>
    <col min="6909" max="6910" width="9.140625" style="1" bestFit="1" customWidth="1"/>
    <col min="6911" max="6912" width="11.140625" style="1" bestFit="1" customWidth="1"/>
    <col min="6913" max="6913" width="11.5703125" style="1" bestFit="1" customWidth="1"/>
    <col min="6914" max="6914" width="9.140625" style="1" bestFit="1" customWidth="1"/>
    <col min="6915" max="6915" width="10.28515625" style="1" customWidth="1"/>
    <col min="6916" max="7154" width="9.140625" style="1"/>
    <col min="7155" max="7155" width="4.28515625" style="1" bestFit="1" customWidth="1"/>
    <col min="7156" max="7156" width="6.85546875" style="1" bestFit="1" customWidth="1"/>
    <col min="7157" max="7157" width="11" style="1" customWidth="1"/>
    <col min="7158" max="7158" width="11.140625" style="1" bestFit="1" customWidth="1"/>
    <col min="7159" max="7159" width="10.85546875" style="1" customWidth="1"/>
    <col min="7160" max="7160" width="11.5703125" style="1" customWidth="1"/>
    <col min="7161" max="7161" width="11.140625" style="1" bestFit="1" customWidth="1"/>
    <col min="7162" max="7162" width="11" style="1" customWidth="1"/>
    <col min="7163" max="7163" width="10.42578125" style="1" customWidth="1"/>
    <col min="7164" max="7164" width="11.28515625" style="1" customWidth="1"/>
    <col min="7165" max="7166" width="9.140625" style="1" bestFit="1" customWidth="1"/>
    <col min="7167" max="7168" width="11.140625" style="1" bestFit="1" customWidth="1"/>
    <col min="7169" max="7169" width="11.5703125" style="1" bestFit="1" customWidth="1"/>
    <col min="7170" max="7170" width="9.140625" style="1" bestFit="1" customWidth="1"/>
    <col min="7171" max="7171" width="10.28515625" style="1" customWidth="1"/>
    <col min="7172" max="7410" width="9.140625" style="1"/>
    <col min="7411" max="7411" width="4.28515625" style="1" bestFit="1" customWidth="1"/>
    <col min="7412" max="7412" width="6.85546875" style="1" bestFit="1" customWidth="1"/>
    <col min="7413" max="7413" width="11" style="1" customWidth="1"/>
    <col min="7414" max="7414" width="11.140625" style="1" bestFit="1" customWidth="1"/>
    <col min="7415" max="7415" width="10.85546875" style="1" customWidth="1"/>
    <col min="7416" max="7416" width="11.5703125" style="1" customWidth="1"/>
    <col min="7417" max="7417" width="11.140625" style="1" bestFit="1" customWidth="1"/>
    <col min="7418" max="7418" width="11" style="1" customWidth="1"/>
    <col min="7419" max="7419" width="10.42578125" style="1" customWidth="1"/>
    <col min="7420" max="7420" width="11.28515625" style="1" customWidth="1"/>
    <col min="7421" max="7422" width="9.140625" style="1" bestFit="1" customWidth="1"/>
    <col min="7423" max="7424" width="11.140625" style="1" bestFit="1" customWidth="1"/>
    <col min="7425" max="7425" width="11.5703125" style="1" bestFit="1" customWidth="1"/>
    <col min="7426" max="7426" width="9.140625" style="1" bestFit="1" customWidth="1"/>
    <col min="7427" max="7427" width="10.28515625" style="1" customWidth="1"/>
    <col min="7428" max="7666" width="9.140625" style="1"/>
    <col min="7667" max="7667" width="4.28515625" style="1" bestFit="1" customWidth="1"/>
    <col min="7668" max="7668" width="6.85546875" style="1" bestFit="1" customWidth="1"/>
    <col min="7669" max="7669" width="11" style="1" customWidth="1"/>
    <col min="7670" max="7670" width="11.140625" style="1" bestFit="1" customWidth="1"/>
    <col min="7671" max="7671" width="10.85546875" style="1" customWidth="1"/>
    <col min="7672" max="7672" width="11.5703125" style="1" customWidth="1"/>
    <col min="7673" max="7673" width="11.140625" style="1" bestFit="1" customWidth="1"/>
    <col min="7674" max="7674" width="11" style="1" customWidth="1"/>
    <col min="7675" max="7675" width="10.42578125" style="1" customWidth="1"/>
    <col min="7676" max="7676" width="11.28515625" style="1" customWidth="1"/>
    <col min="7677" max="7678" width="9.140625" style="1" bestFit="1" customWidth="1"/>
    <col min="7679" max="7680" width="11.140625" style="1" bestFit="1" customWidth="1"/>
    <col min="7681" max="7681" width="11.5703125" style="1" bestFit="1" customWidth="1"/>
    <col min="7682" max="7682" width="9.140625" style="1" bestFit="1" customWidth="1"/>
    <col min="7683" max="7683" width="10.28515625" style="1" customWidth="1"/>
    <col min="7684" max="7922" width="9.140625" style="1"/>
    <col min="7923" max="7923" width="4.28515625" style="1" bestFit="1" customWidth="1"/>
    <col min="7924" max="7924" width="6.85546875" style="1" bestFit="1" customWidth="1"/>
    <col min="7925" max="7925" width="11" style="1" customWidth="1"/>
    <col min="7926" max="7926" width="11.140625" style="1" bestFit="1" customWidth="1"/>
    <col min="7927" max="7927" width="10.85546875" style="1" customWidth="1"/>
    <col min="7928" max="7928" width="11.5703125" style="1" customWidth="1"/>
    <col min="7929" max="7929" width="11.140625" style="1" bestFit="1" customWidth="1"/>
    <col min="7930" max="7930" width="11" style="1" customWidth="1"/>
    <col min="7931" max="7931" width="10.42578125" style="1" customWidth="1"/>
    <col min="7932" max="7932" width="11.28515625" style="1" customWidth="1"/>
    <col min="7933" max="7934" width="9.140625" style="1" bestFit="1" customWidth="1"/>
    <col min="7935" max="7936" width="11.140625" style="1" bestFit="1" customWidth="1"/>
    <col min="7937" max="7937" width="11.5703125" style="1" bestFit="1" customWidth="1"/>
    <col min="7938" max="7938" width="9.140625" style="1" bestFit="1" customWidth="1"/>
    <col min="7939" max="7939" width="10.28515625" style="1" customWidth="1"/>
    <col min="7940" max="8178" width="9.140625" style="1"/>
    <col min="8179" max="8179" width="4.28515625" style="1" bestFit="1" customWidth="1"/>
    <col min="8180" max="8180" width="6.85546875" style="1" bestFit="1" customWidth="1"/>
    <col min="8181" max="8181" width="11" style="1" customWidth="1"/>
    <col min="8182" max="8182" width="11.140625" style="1" bestFit="1" customWidth="1"/>
    <col min="8183" max="8183" width="10.85546875" style="1" customWidth="1"/>
    <col min="8184" max="8184" width="11.5703125" style="1" customWidth="1"/>
    <col min="8185" max="8185" width="11.140625" style="1" bestFit="1" customWidth="1"/>
    <col min="8186" max="8186" width="11" style="1" customWidth="1"/>
    <col min="8187" max="8187" width="10.42578125" style="1" customWidth="1"/>
    <col min="8188" max="8188" width="11.28515625" style="1" customWidth="1"/>
    <col min="8189" max="8190" width="9.140625" style="1" bestFit="1" customWidth="1"/>
    <col min="8191" max="8192" width="11.140625" style="1" bestFit="1" customWidth="1"/>
    <col min="8193" max="8193" width="11.5703125" style="1" bestFit="1" customWidth="1"/>
    <col min="8194" max="8194" width="9.140625" style="1" bestFit="1" customWidth="1"/>
    <col min="8195" max="8195" width="10.28515625" style="1" customWidth="1"/>
    <col min="8196" max="8434" width="9.140625" style="1"/>
    <col min="8435" max="8435" width="4.28515625" style="1" bestFit="1" customWidth="1"/>
    <col min="8436" max="8436" width="6.85546875" style="1" bestFit="1" customWidth="1"/>
    <col min="8437" max="8437" width="11" style="1" customWidth="1"/>
    <col min="8438" max="8438" width="11.140625" style="1" bestFit="1" customWidth="1"/>
    <col min="8439" max="8439" width="10.85546875" style="1" customWidth="1"/>
    <col min="8440" max="8440" width="11.5703125" style="1" customWidth="1"/>
    <col min="8441" max="8441" width="11.140625" style="1" bestFit="1" customWidth="1"/>
    <col min="8442" max="8442" width="11" style="1" customWidth="1"/>
    <col min="8443" max="8443" width="10.42578125" style="1" customWidth="1"/>
    <col min="8444" max="8444" width="11.28515625" style="1" customWidth="1"/>
    <col min="8445" max="8446" width="9.140625" style="1" bestFit="1" customWidth="1"/>
    <col min="8447" max="8448" width="11.140625" style="1" bestFit="1" customWidth="1"/>
    <col min="8449" max="8449" width="11.5703125" style="1" bestFit="1" customWidth="1"/>
    <col min="8450" max="8450" width="9.140625" style="1" bestFit="1" customWidth="1"/>
    <col min="8451" max="8451" width="10.28515625" style="1" customWidth="1"/>
    <col min="8452" max="8690" width="9.140625" style="1"/>
    <col min="8691" max="8691" width="4.28515625" style="1" bestFit="1" customWidth="1"/>
    <col min="8692" max="8692" width="6.85546875" style="1" bestFit="1" customWidth="1"/>
    <col min="8693" max="8693" width="11" style="1" customWidth="1"/>
    <col min="8694" max="8694" width="11.140625" style="1" bestFit="1" customWidth="1"/>
    <col min="8695" max="8695" width="10.85546875" style="1" customWidth="1"/>
    <col min="8696" max="8696" width="11.5703125" style="1" customWidth="1"/>
    <col min="8697" max="8697" width="11.140625" style="1" bestFit="1" customWidth="1"/>
    <col min="8698" max="8698" width="11" style="1" customWidth="1"/>
    <col min="8699" max="8699" width="10.42578125" style="1" customWidth="1"/>
    <col min="8700" max="8700" width="11.28515625" style="1" customWidth="1"/>
    <col min="8701" max="8702" width="9.140625" style="1" bestFit="1" customWidth="1"/>
    <col min="8703" max="8704" width="11.140625" style="1" bestFit="1" customWidth="1"/>
    <col min="8705" max="8705" width="11.5703125" style="1" bestFit="1" customWidth="1"/>
    <col min="8706" max="8706" width="9.140625" style="1" bestFit="1" customWidth="1"/>
    <col min="8707" max="8707" width="10.28515625" style="1" customWidth="1"/>
    <col min="8708" max="8946" width="9.140625" style="1"/>
    <col min="8947" max="8947" width="4.28515625" style="1" bestFit="1" customWidth="1"/>
    <col min="8948" max="8948" width="6.85546875" style="1" bestFit="1" customWidth="1"/>
    <col min="8949" max="8949" width="11" style="1" customWidth="1"/>
    <col min="8950" max="8950" width="11.140625" style="1" bestFit="1" customWidth="1"/>
    <col min="8951" max="8951" width="10.85546875" style="1" customWidth="1"/>
    <col min="8952" max="8952" width="11.5703125" style="1" customWidth="1"/>
    <col min="8953" max="8953" width="11.140625" style="1" bestFit="1" customWidth="1"/>
    <col min="8954" max="8954" width="11" style="1" customWidth="1"/>
    <col min="8955" max="8955" width="10.42578125" style="1" customWidth="1"/>
    <col min="8956" max="8956" width="11.28515625" style="1" customWidth="1"/>
    <col min="8957" max="8958" width="9.140625" style="1" bestFit="1" customWidth="1"/>
    <col min="8959" max="8960" width="11.140625" style="1" bestFit="1" customWidth="1"/>
    <col min="8961" max="8961" width="11.5703125" style="1" bestFit="1" customWidth="1"/>
    <col min="8962" max="8962" width="9.140625" style="1" bestFit="1" customWidth="1"/>
    <col min="8963" max="8963" width="10.28515625" style="1" customWidth="1"/>
    <col min="8964" max="9202" width="9.140625" style="1"/>
    <col min="9203" max="9203" width="4.28515625" style="1" bestFit="1" customWidth="1"/>
    <col min="9204" max="9204" width="6.85546875" style="1" bestFit="1" customWidth="1"/>
    <col min="9205" max="9205" width="11" style="1" customWidth="1"/>
    <col min="9206" max="9206" width="11.140625" style="1" bestFit="1" customWidth="1"/>
    <col min="9207" max="9207" width="10.85546875" style="1" customWidth="1"/>
    <col min="9208" max="9208" width="11.5703125" style="1" customWidth="1"/>
    <col min="9209" max="9209" width="11.140625" style="1" bestFit="1" customWidth="1"/>
    <col min="9210" max="9210" width="11" style="1" customWidth="1"/>
    <col min="9211" max="9211" width="10.42578125" style="1" customWidth="1"/>
    <col min="9212" max="9212" width="11.28515625" style="1" customWidth="1"/>
    <col min="9213" max="9214" width="9.140625" style="1" bestFit="1" customWidth="1"/>
    <col min="9215" max="9216" width="11.140625" style="1" bestFit="1" customWidth="1"/>
    <col min="9217" max="9217" width="11.5703125" style="1" bestFit="1" customWidth="1"/>
    <col min="9218" max="9218" width="9.140625" style="1" bestFit="1" customWidth="1"/>
    <col min="9219" max="9219" width="10.28515625" style="1" customWidth="1"/>
    <col min="9220" max="9458" width="9.140625" style="1"/>
    <col min="9459" max="9459" width="4.28515625" style="1" bestFit="1" customWidth="1"/>
    <col min="9460" max="9460" width="6.85546875" style="1" bestFit="1" customWidth="1"/>
    <col min="9461" max="9461" width="11" style="1" customWidth="1"/>
    <col min="9462" max="9462" width="11.140625" style="1" bestFit="1" customWidth="1"/>
    <col min="9463" max="9463" width="10.85546875" style="1" customWidth="1"/>
    <col min="9464" max="9464" width="11.5703125" style="1" customWidth="1"/>
    <col min="9465" max="9465" width="11.140625" style="1" bestFit="1" customWidth="1"/>
    <col min="9466" max="9466" width="11" style="1" customWidth="1"/>
    <col min="9467" max="9467" width="10.42578125" style="1" customWidth="1"/>
    <col min="9468" max="9468" width="11.28515625" style="1" customWidth="1"/>
    <col min="9469" max="9470" width="9.140625" style="1" bestFit="1" customWidth="1"/>
    <col min="9471" max="9472" width="11.140625" style="1" bestFit="1" customWidth="1"/>
    <col min="9473" max="9473" width="11.5703125" style="1" bestFit="1" customWidth="1"/>
    <col min="9474" max="9474" width="9.140625" style="1" bestFit="1" customWidth="1"/>
    <col min="9475" max="9475" width="10.28515625" style="1" customWidth="1"/>
    <col min="9476" max="9714" width="9.140625" style="1"/>
    <col min="9715" max="9715" width="4.28515625" style="1" bestFit="1" customWidth="1"/>
    <col min="9716" max="9716" width="6.85546875" style="1" bestFit="1" customWidth="1"/>
    <col min="9717" max="9717" width="11" style="1" customWidth="1"/>
    <col min="9718" max="9718" width="11.140625" style="1" bestFit="1" customWidth="1"/>
    <col min="9719" max="9719" width="10.85546875" style="1" customWidth="1"/>
    <col min="9720" max="9720" width="11.5703125" style="1" customWidth="1"/>
    <col min="9721" max="9721" width="11.140625" style="1" bestFit="1" customWidth="1"/>
    <col min="9722" max="9722" width="11" style="1" customWidth="1"/>
    <col min="9723" max="9723" width="10.42578125" style="1" customWidth="1"/>
    <col min="9724" max="9724" width="11.28515625" style="1" customWidth="1"/>
    <col min="9725" max="9726" width="9.140625" style="1" bestFit="1" customWidth="1"/>
    <col min="9727" max="9728" width="11.140625" style="1" bestFit="1" customWidth="1"/>
    <col min="9729" max="9729" width="11.5703125" style="1" bestFit="1" customWidth="1"/>
    <col min="9730" max="9730" width="9.140625" style="1" bestFit="1" customWidth="1"/>
    <col min="9731" max="9731" width="10.28515625" style="1" customWidth="1"/>
    <col min="9732" max="9970" width="9.140625" style="1"/>
    <col min="9971" max="9971" width="4.28515625" style="1" bestFit="1" customWidth="1"/>
    <col min="9972" max="9972" width="6.85546875" style="1" bestFit="1" customWidth="1"/>
    <col min="9973" max="9973" width="11" style="1" customWidth="1"/>
    <col min="9974" max="9974" width="11.140625" style="1" bestFit="1" customWidth="1"/>
    <col min="9975" max="9975" width="10.85546875" style="1" customWidth="1"/>
    <col min="9976" max="9976" width="11.5703125" style="1" customWidth="1"/>
    <col min="9977" max="9977" width="11.140625" style="1" bestFit="1" customWidth="1"/>
    <col min="9978" max="9978" width="11" style="1" customWidth="1"/>
    <col min="9979" max="9979" width="10.42578125" style="1" customWidth="1"/>
    <col min="9980" max="9980" width="11.28515625" style="1" customWidth="1"/>
    <col min="9981" max="9982" width="9.140625" style="1" bestFit="1" customWidth="1"/>
    <col min="9983" max="9984" width="11.140625" style="1" bestFit="1" customWidth="1"/>
    <col min="9985" max="9985" width="11.5703125" style="1" bestFit="1" customWidth="1"/>
    <col min="9986" max="9986" width="9.140625" style="1" bestFit="1" customWidth="1"/>
    <col min="9987" max="9987" width="10.28515625" style="1" customWidth="1"/>
    <col min="9988" max="10226" width="9.140625" style="1"/>
    <col min="10227" max="10227" width="4.28515625" style="1" bestFit="1" customWidth="1"/>
    <col min="10228" max="10228" width="6.85546875" style="1" bestFit="1" customWidth="1"/>
    <col min="10229" max="10229" width="11" style="1" customWidth="1"/>
    <col min="10230" max="10230" width="11.140625" style="1" bestFit="1" customWidth="1"/>
    <col min="10231" max="10231" width="10.85546875" style="1" customWidth="1"/>
    <col min="10232" max="10232" width="11.5703125" style="1" customWidth="1"/>
    <col min="10233" max="10233" width="11.140625" style="1" bestFit="1" customWidth="1"/>
    <col min="10234" max="10234" width="11" style="1" customWidth="1"/>
    <col min="10235" max="10235" width="10.42578125" style="1" customWidth="1"/>
    <col min="10236" max="10236" width="11.28515625" style="1" customWidth="1"/>
    <col min="10237" max="10238" width="9.140625" style="1" bestFit="1" customWidth="1"/>
    <col min="10239" max="10240" width="11.140625" style="1" bestFit="1" customWidth="1"/>
    <col min="10241" max="10241" width="11.5703125" style="1" bestFit="1" customWidth="1"/>
    <col min="10242" max="10242" width="9.140625" style="1" bestFit="1" customWidth="1"/>
    <col min="10243" max="10243" width="10.28515625" style="1" customWidth="1"/>
    <col min="10244" max="10482" width="9.140625" style="1"/>
    <col min="10483" max="10483" width="4.28515625" style="1" bestFit="1" customWidth="1"/>
    <col min="10484" max="10484" width="6.85546875" style="1" bestFit="1" customWidth="1"/>
    <col min="10485" max="10485" width="11" style="1" customWidth="1"/>
    <col min="10486" max="10486" width="11.140625" style="1" bestFit="1" customWidth="1"/>
    <col min="10487" max="10487" width="10.85546875" style="1" customWidth="1"/>
    <col min="10488" max="10488" width="11.5703125" style="1" customWidth="1"/>
    <col min="10489" max="10489" width="11.140625" style="1" bestFit="1" customWidth="1"/>
    <col min="10490" max="10490" width="11" style="1" customWidth="1"/>
    <col min="10491" max="10491" width="10.42578125" style="1" customWidth="1"/>
    <col min="10492" max="10492" width="11.28515625" style="1" customWidth="1"/>
    <col min="10493" max="10494" width="9.140625" style="1" bestFit="1" customWidth="1"/>
    <col min="10495" max="10496" width="11.140625" style="1" bestFit="1" customWidth="1"/>
    <col min="10497" max="10497" width="11.5703125" style="1" bestFit="1" customWidth="1"/>
    <col min="10498" max="10498" width="9.140625" style="1" bestFit="1" customWidth="1"/>
    <col min="10499" max="10499" width="10.28515625" style="1" customWidth="1"/>
    <col min="10500" max="10738" width="9.140625" style="1"/>
    <col min="10739" max="10739" width="4.28515625" style="1" bestFit="1" customWidth="1"/>
    <col min="10740" max="10740" width="6.85546875" style="1" bestFit="1" customWidth="1"/>
    <col min="10741" max="10741" width="11" style="1" customWidth="1"/>
    <col min="10742" max="10742" width="11.140625" style="1" bestFit="1" customWidth="1"/>
    <col min="10743" max="10743" width="10.85546875" style="1" customWidth="1"/>
    <col min="10744" max="10744" width="11.5703125" style="1" customWidth="1"/>
    <col min="10745" max="10745" width="11.140625" style="1" bestFit="1" customWidth="1"/>
    <col min="10746" max="10746" width="11" style="1" customWidth="1"/>
    <col min="10747" max="10747" width="10.42578125" style="1" customWidth="1"/>
    <col min="10748" max="10748" width="11.28515625" style="1" customWidth="1"/>
    <col min="10749" max="10750" width="9.140625" style="1" bestFit="1" customWidth="1"/>
    <col min="10751" max="10752" width="11.140625" style="1" bestFit="1" customWidth="1"/>
    <col min="10753" max="10753" width="11.5703125" style="1" bestFit="1" customWidth="1"/>
    <col min="10754" max="10754" width="9.140625" style="1" bestFit="1" customWidth="1"/>
    <col min="10755" max="10755" width="10.28515625" style="1" customWidth="1"/>
    <col min="10756" max="10994" width="9.140625" style="1"/>
    <col min="10995" max="10995" width="4.28515625" style="1" bestFit="1" customWidth="1"/>
    <col min="10996" max="10996" width="6.85546875" style="1" bestFit="1" customWidth="1"/>
    <col min="10997" max="10997" width="11" style="1" customWidth="1"/>
    <col min="10998" max="10998" width="11.140625" style="1" bestFit="1" customWidth="1"/>
    <col min="10999" max="10999" width="10.85546875" style="1" customWidth="1"/>
    <col min="11000" max="11000" width="11.5703125" style="1" customWidth="1"/>
    <col min="11001" max="11001" width="11.140625" style="1" bestFit="1" customWidth="1"/>
    <col min="11002" max="11002" width="11" style="1" customWidth="1"/>
    <col min="11003" max="11003" width="10.42578125" style="1" customWidth="1"/>
    <col min="11004" max="11004" width="11.28515625" style="1" customWidth="1"/>
    <col min="11005" max="11006" width="9.140625" style="1" bestFit="1" customWidth="1"/>
    <col min="11007" max="11008" width="11.140625" style="1" bestFit="1" customWidth="1"/>
    <col min="11009" max="11009" width="11.5703125" style="1" bestFit="1" customWidth="1"/>
    <col min="11010" max="11010" width="9.140625" style="1" bestFit="1" customWidth="1"/>
    <col min="11011" max="11011" width="10.28515625" style="1" customWidth="1"/>
    <col min="11012" max="11250" width="9.140625" style="1"/>
    <col min="11251" max="11251" width="4.28515625" style="1" bestFit="1" customWidth="1"/>
    <col min="11252" max="11252" width="6.85546875" style="1" bestFit="1" customWidth="1"/>
    <col min="11253" max="11253" width="11" style="1" customWidth="1"/>
    <col min="11254" max="11254" width="11.140625" style="1" bestFit="1" customWidth="1"/>
    <col min="11255" max="11255" width="10.85546875" style="1" customWidth="1"/>
    <col min="11256" max="11256" width="11.5703125" style="1" customWidth="1"/>
    <col min="11257" max="11257" width="11.140625" style="1" bestFit="1" customWidth="1"/>
    <col min="11258" max="11258" width="11" style="1" customWidth="1"/>
    <col min="11259" max="11259" width="10.42578125" style="1" customWidth="1"/>
    <col min="11260" max="11260" width="11.28515625" style="1" customWidth="1"/>
    <col min="11261" max="11262" width="9.140625" style="1" bestFit="1" customWidth="1"/>
    <col min="11263" max="11264" width="11.140625" style="1" bestFit="1" customWidth="1"/>
    <col min="11265" max="11265" width="11.5703125" style="1" bestFit="1" customWidth="1"/>
    <col min="11266" max="11266" width="9.140625" style="1" bestFit="1" customWidth="1"/>
    <col min="11267" max="11267" width="10.28515625" style="1" customWidth="1"/>
    <col min="11268" max="11506" width="9.140625" style="1"/>
    <col min="11507" max="11507" width="4.28515625" style="1" bestFit="1" customWidth="1"/>
    <col min="11508" max="11508" width="6.85546875" style="1" bestFit="1" customWidth="1"/>
    <col min="11509" max="11509" width="11" style="1" customWidth="1"/>
    <col min="11510" max="11510" width="11.140625" style="1" bestFit="1" customWidth="1"/>
    <col min="11511" max="11511" width="10.85546875" style="1" customWidth="1"/>
    <col min="11512" max="11512" width="11.5703125" style="1" customWidth="1"/>
    <col min="11513" max="11513" width="11.140625" style="1" bestFit="1" customWidth="1"/>
    <col min="11514" max="11514" width="11" style="1" customWidth="1"/>
    <col min="11515" max="11515" width="10.42578125" style="1" customWidth="1"/>
    <col min="11516" max="11516" width="11.28515625" style="1" customWidth="1"/>
    <col min="11517" max="11518" width="9.140625" style="1" bestFit="1" customWidth="1"/>
    <col min="11519" max="11520" width="11.140625" style="1" bestFit="1" customWidth="1"/>
    <col min="11521" max="11521" width="11.5703125" style="1" bestFit="1" customWidth="1"/>
    <col min="11522" max="11522" width="9.140625" style="1" bestFit="1" customWidth="1"/>
    <col min="11523" max="11523" width="10.28515625" style="1" customWidth="1"/>
    <col min="11524" max="11762" width="9.140625" style="1"/>
    <col min="11763" max="11763" width="4.28515625" style="1" bestFit="1" customWidth="1"/>
    <col min="11764" max="11764" width="6.85546875" style="1" bestFit="1" customWidth="1"/>
    <col min="11765" max="11765" width="11" style="1" customWidth="1"/>
    <col min="11766" max="11766" width="11.140625" style="1" bestFit="1" customWidth="1"/>
    <col min="11767" max="11767" width="10.85546875" style="1" customWidth="1"/>
    <col min="11768" max="11768" width="11.5703125" style="1" customWidth="1"/>
    <col min="11769" max="11769" width="11.140625" style="1" bestFit="1" customWidth="1"/>
    <col min="11770" max="11770" width="11" style="1" customWidth="1"/>
    <col min="11771" max="11771" width="10.42578125" style="1" customWidth="1"/>
    <col min="11772" max="11772" width="11.28515625" style="1" customWidth="1"/>
    <col min="11773" max="11774" width="9.140625" style="1" bestFit="1" customWidth="1"/>
    <col min="11775" max="11776" width="11.140625" style="1" bestFit="1" customWidth="1"/>
    <col min="11777" max="11777" width="11.5703125" style="1" bestFit="1" customWidth="1"/>
    <col min="11778" max="11778" width="9.140625" style="1" bestFit="1" customWidth="1"/>
    <col min="11779" max="11779" width="10.28515625" style="1" customWidth="1"/>
    <col min="11780" max="12018" width="9.140625" style="1"/>
    <col min="12019" max="12019" width="4.28515625" style="1" bestFit="1" customWidth="1"/>
    <col min="12020" max="12020" width="6.85546875" style="1" bestFit="1" customWidth="1"/>
    <col min="12021" max="12021" width="11" style="1" customWidth="1"/>
    <col min="12022" max="12022" width="11.140625" style="1" bestFit="1" customWidth="1"/>
    <col min="12023" max="12023" width="10.85546875" style="1" customWidth="1"/>
    <col min="12024" max="12024" width="11.5703125" style="1" customWidth="1"/>
    <col min="12025" max="12025" width="11.140625" style="1" bestFit="1" customWidth="1"/>
    <col min="12026" max="12026" width="11" style="1" customWidth="1"/>
    <col min="12027" max="12027" width="10.42578125" style="1" customWidth="1"/>
    <col min="12028" max="12028" width="11.28515625" style="1" customWidth="1"/>
    <col min="12029" max="12030" width="9.140625" style="1" bestFit="1" customWidth="1"/>
    <col min="12031" max="12032" width="11.140625" style="1" bestFit="1" customWidth="1"/>
    <col min="12033" max="12033" width="11.5703125" style="1" bestFit="1" customWidth="1"/>
    <col min="12034" max="12034" width="9.140625" style="1" bestFit="1" customWidth="1"/>
    <col min="12035" max="12035" width="10.28515625" style="1" customWidth="1"/>
    <col min="12036" max="12274" width="9.140625" style="1"/>
    <col min="12275" max="12275" width="4.28515625" style="1" bestFit="1" customWidth="1"/>
    <col min="12276" max="12276" width="6.85546875" style="1" bestFit="1" customWidth="1"/>
    <col min="12277" max="12277" width="11" style="1" customWidth="1"/>
    <col min="12278" max="12278" width="11.140625" style="1" bestFit="1" customWidth="1"/>
    <col min="12279" max="12279" width="10.85546875" style="1" customWidth="1"/>
    <col min="12280" max="12280" width="11.5703125" style="1" customWidth="1"/>
    <col min="12281" max="12281" width="11.140625" style="1" bestFit="1" customWidth="1"/>
    <col min="12282" max="12282" width="11" style="1" customWidth="1"/>
    <col min="12283" max="12283" width="10.42578125" style="1" customWidth="1"/>
    <col min="12284" max="12284" width="11.28515625" style="1" customWidth="1"/>
    <col min="12285" max="12286" width="9.140625" style="1" bestFit="1" customWidth="1"/>
    <col min="12287" max="12288" width="11.140625" style="1" bestFit="1" customWidth="1"/>
    <col min="12289" max="12289" width="11.5703125" style="1" bestFit="1" customWidth="1"/>
    <col min="12290" max="12290" width="9.140625" style="1" bestFit="1" customWidth="1"/>
    <col min="12291" max="12291" width="10.28515625" style="1" customWidth="1"/>
    <col min="12292" max="12530" width="9.140625" style="1"/>
    <col min="12531" max="12531" width="4.28515625" style="1" bestFit="1" customWidth="1"/>
    <col min="12532" max="12532" width="6.85546875" style="1" bestFit="1" customWidth="1"/>
    <col min="12533" max="12533" width="11" style="1" customWidth="1"/>
    <col min="12534" max="12534" width="11.140625" style="1" bestFit="1" customWidth="1"/>
    <col min="12535" max="12535" width="10.85546875" style="1" customWidth="1"/>
    <col min="12536" max="12536" width="11.5703125" style="1" customWidth="1"/>
    <col min="12537" max="12537" width="11.140625" style="1" bestFit="1" customWidth="1"/>
    <col min="12538" max="12538" width="11" style="1" customWidth="1"/>
    <col min="12539" max="12539" width="10.42578125" style="1" customWidth="1"/>
    <col min="12540" max="12540" width="11.28515625" style="1" customWidth="1"/>
    <col min="12541" max="12542" width="9.140625" style="1" bestFit="1" customWidth="1"/>
    <col min="12543" max="12544" width="11.140625" style="1" bestFit="1" customWidth="1"/>
    <col min="12545" max="12545" width="11.5703125" style="1" bestFit="1" customWidth="1"/>
    <col min="12546" max="12546" width="9.140625" style="1" bestFit="1" customWidth="1"/>
    <col min="12547" max="12547" width="10.28515625" style="1" customWidth="1"/>
    <col min="12548" max="12786" width="9.140625" style="1"/>
    <col min="12787" max="12787" width="4.28515625" style="1" bestFit="1" customWidth="1"/>
    <col min="12788" max="12788" width="6.85546875" style="1" bestFit="1" customWidth="1"/>
    <col min="12789" max="12789" width="11" style="1" customWidth="1"/>
    <col min="12790" max="12790" width="11.140625" style="1" bestFit="1" customWidth="1"/>
    <col min="12791" max="12791" width="10.85546875" style="1" customWidth="1"/>
    <col min="12792" max="12792" width="11.5703125" style="1" customWidth="1"/>
    <col min="12793" max="12793" width="11.140625" style="1" bestFit="1" customWidth="1"/>
    <col min="12794" max="12794" width="11" style="1" customWidth="1"/>
    <col min="12795" max="12795" width="10.42578125" style="1" customWidth="1"/>
    <col min="12796" max="12796" width="11.28515625" style="1" customWidth="1"/>
    <col min="12797" max="12798" width="9.140625" style="1" bestFit="1" customWidth="1"/>
    <col min="12799" max="12800" width="11.140625" style="1" bestFit="1" customWidth="1"/>
    <col min="12801" max="12801" width="11.5703125" style="1" bestFit="1" customWidth="1"/>
    <col min="12802" max="12802" width="9.140625" style="1" bestFit="1" customWidth="1"/>
    <col min="12803" max="12803" width="10.28515625" style="1" customWidth="1"/>
    <col min="12804" max="13042" width="9.140625" style="1"/>
    <col min="13043" max="13043" width="4.28515625" style="1" bestFit="1" customWidth="1"/>
    <col min="13044" max="13044" width="6.85546875" style="1" bestFit="1" customWidth="1"/>
    <col min="13045" max="13045" width="11" style="1" customWidth="1"/>
    <col min="13046" max="13046" width="11.140625" style="1" bestFit="1" customWidth="1"/>
    <col min="13047" max="13047" width="10.85546875" style="1" customWidth="1"/>
    <col min="13048" max="13048" width="11.5703125" style="1" customWidth="1"/>
    <col min="13049" max="13049" width="11.140625" style="1" bestFit="1" customWidth="1"/>
    <col min="13050" max="13050" width="11" style="1" customWidth="1"/>
    <col min="13051" max="13051" width="10.42578125" style="1" customWidth="1"/>
    <col min="13052" max="13052" width="11.28515625" style="1" customWidth="1"/>
    <col min="13053" max="13054" width="9.140625" style="1" bestFit="1" customWidth="1"/>
    <col min="13055" max="13056" width="11.140625" style="1" bestFit="1" customWidth="1"/>
    <col min="13057" max="13057" width="11.5703125" style="1" bestFit="1" customWidth="1"/>
    <col min="13058" max="13058" width="9.140625" style="1" bestFit="1" customWidth="1"/>
    <col min="13059" max="13059" width="10.28515625" style="1" customWidth="1"/>
    <col min="13060" max="13298" width="9.140625" style="1"/>
    <col min="13299" max="13299" width="4.28515625" style="1" bestFit="1" customWidth="1"/>
    <col min="13300" max="13300" width="6.85546875" style="1" bestFit="1" customWidth="1"/>
    <col min="13301" max="13301" width="11" style="1" customWidth="1"/>
    <col min="13302" max="13302" width="11.140625" style="1" bestFit="1" customWidth="1"/>
    <col min="13303" max="13303" width="10.85546875" style="1" customWidth="1"/>
    <col min="13304" max="13304" width="11.5703125" style="1" customWidth="1"/>
    <col min="13305" max="13305" width="11.140625" style="1" bestFit="1" customWidth="1"/>
    <col min="13306" max="13306" width="11" style="1" customWidth="1"/>
    <col min="13307" max="13307" width="10.42578125" style="1" customWidth="1"/>
    <col min="13308" max="13308" width="11.28515625" style="1" customWidth="1"/>
    <col min="13309" max="13310" width="9.140625" style="1" bestFit="1" customWidth="1"/>
    <col min="13311" max="13312" width="11.140625" style="1" bestFit="1" customWidth="1"/>
    <col min="13313" max="13313" width="11.5703125" style="1" bestFit="1" customWidth="1"/>
    <col min="13314" max="13314" width="9.140625" style="1" bestFit="1" customWidth="1"/>
    <col min="13315" max="13315" width="10.28515625" style="1" customWidth="1"/>
    <col min="13316" max="13554" width="9.140625" style="1"/>
    <col min="13555" max="13555" width="4.28515625" style="1" bestFit="1" customWidth="1"/>
    <col min="13556" max="13556" width="6.85546875" style="1" bestFit="1" customWidth="1"/>
    <col min="13557" max="13557" width="11" style="1" customWidth="1"/>
    <col min="13558" max="13558" width="11.140625" style="1" bestFit="1" customWidth="1"/>
    <col min="13559" max="13559" width="10.85546875" style="1" customWidth="1"/>
    <col min="13560" max="13560" width="11.5703125" style="1" customWidth="1"/>
    <col min="13561" max="13561" width="11.140625" style="1" bestFit="1" customWidth="1"/>
    <col min="13562" max="13562" width="11" style="1" customWidth="1"/>
    <col min="13563" max="13563" width="10.42578125" style="1" customWidth="1"/>
    <col min="13564" max="13564" width="11.28515625" style="1" customWidth="1"/>
    <col min="13565" max="13566" width="9.140625" style="1" bestFit="1" customWidth="1"/>
    <col min="13567" max="13568" width="11.140625" style="1" bestFit="1" customWidth="1"/>
    <col min="13569" max="13569" width="11.5703125" style="1" bestFit="1" customWidth="1"/>
    <col min="13570" max="13570" width="9.140625" style="1" bestFit="1" customWidth="1"/>
    <col min="13571" max="13571" width="10.28515625" style="1" customWidth="1"/>
    <col min="13572" max="13810" width="9.140625" style="1"/>
    <col min="13811" max="13811" width="4.28515625" style="1" bestFit="1" customWidth="1"/>
    <col min="13812" max="13812" width="6.85546875" style="1" bestFit="1" customWidth="1"/>
    <col min="13813" max="13813" width="11" style="1" customWidth="1"/>
    <col min="13814" max="13814" width="11.140625" style="1" bestFit="1" customWidth="1"/>
    <col min="13815" max="13815" width="10.85546875" style="1" customWidth="1"/>
    <col min="13816" max="13816" width="11.5703125" style="1" customWidth="1"/>
    <col min="13817" max="13817" width="11.140625" style="1" bestFit="1" customWidth="1"/>
    <col min="13818" max="13818" width="11" style="1" customWidth="1"/>
    <col min="13819" max="13819" width="10.42578125" style="1" customWidth="1"/>
    <col min="13820" max="13820" width="11.28515625" style="1" customWidth="1"/>
    <col min="13821" max="13822" width="9.140625" style="1" bestFit="1" customWidth="1"/>
    <col min="13823" max="13824" width="11.140625" style="1" bestFit="1" customWidth="1"/>
    <col min="13825" max="13825" width="11.5703125" style="1" bestFit="1" customWidth="1"/>
    <col min="13826" max="13826" width="9.140625" style="1" bestFit="1" customWidth="1"/>
    <col min="13827" max="13827" width="10.28515625" style="1" customWidth="1"/>
    <col min="13828" max="14066" width="9.140625" style="1"/>
    <col min="14067" max="14067" width="4.28515625" style="1" bestFit="1" customWidth="1"/>
    <col min="14068" max="14068" width="6.85546875" style="1" bestFit="1" customWidth="1"/>
    <col min="14069" max="14069" width="11" style="1" customWidth="1"/>
    <col min="14070" max="14070" width="11.140625" style="1" bestFit="1" customWidth="1"/>
    <col min="14071" max="14071" width="10.85546875" style="1" customWidth="1"/>
    <col min="14072" max="14072" width="11.5703125" style="1" customWidth="1"/>
    <col min="14073" max="14073" width="11.140625" style="1" bestFit="1" customWidth="1"/>
    <col min="14074" max="14074" width="11" style="1" customWidth="1"/>
    <col min="14075" max="14075" width="10.42578125" style="1" customWidth="1"/>
    <col min="14076" max="14076" width="11.28515625" style="1" customWidth="1"/>
    <col min="14077" max="14078" width="9.140625" style="1" bestFit="1" customWidth="1"/>
    <col min="14079" max="14080" width="11.140625" style="1" bestFit="1" customWidth="1"/>
    <col min="14081" max="14081" width="11.5703125" style="1" bestFit="1" customWidth="1"/>
    <col min="14082" max="14082" width="9.140625" style="1" bestFit="1" customWidth="1"/>
    <col min="14083" max="14083" width="10.28515625" style="1" customWidth="1"/>
    <col min="14084" max="14322" width="9.140625" style="1"/>
    <col min="14323" max="14323" width="4.28515625" style="1" bestFit="1" customWidth="1"/>
    <col min="14324" max="14324" width="6.85546875" style="1" bestFit="1" customWidth="1"/>
    <col min="14325" max="14325" width="11" style="1" customWidth="1"/>
    <col min="14326" max="14326" width="11.140625" style="1" bestFit="1" customWidth="1"/>
    <col min="14327" max="14327" width="10.85546875" style="1" customWidth="1"/>
    <col min="14328" max="14328" width="11.5703125" style="1" customWidth="1"/>
    <col min="14329" max="14329" width="11.140625" style="1" bestFit="1" customWidth="1"/>
    <col min="14330" max="14330" width="11" style="1" customWidth="1"/>
    <col min="14331" max="14331" width="10.42578125" style="1" customWidth="1"/>
    <col min="14332" max="14332" width="11.28515625" style="1" customWidth="1"/>
    <col min="14333" max="14334" width="9.140625" style="1" bestFit="1" customWidth="1"/>
    <col min="14335" max="14336" width="11.140625" style="1" bestFit="1" customWidth="1"/>
    <col min="14337" max="14337" width="11.5703125" style="1" bestFit="1" customWidth="1"/>
    <col min="14338" max="14338" width="9.140625" style="1" bestFit="1" customWidth="1"/>
    <col min="14339" max="14339" width="10.28515625" style="1" customWidth="1"/>
    <col min="14340" max="14578" width="9.140625" style="1"/>
    <col min="14579" max="14579" width="4.28515625" style="1" bestFit="1" customWidth="1"/>
    <col min="14580" max="14580" width="6.85546875" style="1" bestFit="1" customWidth="1"/>
    <col min="14581" max="14581" width="11" style="1" customWidth="1"/>
    <col min="14582" max="14582" width="11.140625" style="1" bestFit="1" customWidth="1"/>
    <col min="14583" max="14583" width="10.85546875" style="1" customWidth="1"/>
    <col min="14584" max="14584" width="11.5703125" style="1" customWidth="1"/>
    <col min="14585" max="14585" width="11.140625" style="1" bestFit="1" customWidth="1"/>
    <col min="14586" max="14586" width="11" style="1" customWidth="1"/>
    <col min="14587" max="14587" width="10.42578125" style="1" customWidth="1"/>
    <col min="14588" max="14588" width="11.28515625" style="1" customWidth="1"/>
    <col min="14589" max="14590" width="9.140625" style="1" bestFit="1" customWidth="1"/>
    <col min="14591" max="14592" width="11.140625" style="1" bestFit="1" customWidth="1"/>
    <col min="14593" max="14593" width="11.5703125" style="1" bestFit="1" customWidth="1"/>
    <col min="14594" max="14594" width="9.140625" style="1" bestFit="1" customWidth="1"/>
    <col min="14595" max="14595" width="10.28515625" style="1" customWidth="1"/>
    <col min="14596" max="14834" width="9.140625" style="1"/>
    <col min="14835" max="14835" width="4.28515625" style="1" bestFit="1" customWidth="1"/>
    <col min="14836" max="14836" width="6.85546875" style="1" bestFit="1" customWidth="1"/>
    <col min="14837" max="14837" width="11" style="1" customWidth="1"/>
    <col min="14838" max="14838" width="11.140625" style="1" bestFit="1" customWidth="1"/>
    <col min="14839" max="14839" width="10.85546875" style="1" customWidth="1"/>
    <col min="14840" max="14840" width="11.5703125" style="1" customWidth="1"/>
    <col min="14841" max="14841" width="11.140625" style="1" bestFit="1" customWidth="1"/>
    <col min="14842" max="14842" width="11" style="1" customWidth="1"/>
    <col min="14843" max="14843" width="10.42578125" style="1" customWidth="1"/>
    <col min="14844" max="14844" width="11.28515625" style="1" customWidth="1"/>
    <col min="14845" max="14846" width="9.140625" style="1" bestFit="1" customWidth="1"/>
    <col min="14847" max="14848" width="11.140625" style="1" bestFit="1" customWidth="1"/>
    <col min="14849" max="14849" width="11.5703125" style="1" bestFit="1" customWidth="1"/>
    <col min="14850" max="14850" width="9.140625" style="1" bestFit="1" customWidth="1"/>
    <col min="14851" max="14851" width="10.28515625" style="1" customWidth="1"/>
    <col min="14852" max="15090" width="9.140625" style="1"/>
    <col min="15091" max="15091" width="4.28515625" style="1" bestFit="1" customWidth="1"/>
    <col min="15092" max="15092" width="6.85546875" style="1" bestFit="1" customWidth="1"/>
    <col min="15093" max="15093" width="11" style="1" customWidth="1"/>
    <col min="15094" max="15094" width="11.140625" style="1" bestFit="1" customWidth="1"/>
    <col min="15095" max="15095" width="10.85546875" style="1" customWidth="1"/>
    <col min="15096" max="15096" width="11.5703125" style="1" customWidth="1"/>
    <col min="15097" max="15097" width="11.140625" style="1" bestFit="1" customWidth="1"/>
    <col min="15098" max="15098" width="11" style="1" customWidth="1"/>
    <col min="15099" max="15099" width="10.42578125" style="1" customWidth="1"/>
    <col min="15100" max="15100" width="11.28515625" style="1" customWidth="1"/>
    <col min="15101" max="15102" width="9.140625" style="1" bestFit="1" customWidth="1"/>
    <col min="15103" max="15104" width="11.140625" style="1" bestFit="1" customWidth="1"/>
    <col min="15105" max="15105" width="11.5703125" style="1" bestFit="1" customWidth="1"/>
    <col min="15106" max="15106" width="9.140625" style="1" bestFit="1" customWidth="1"/>
    <col min="15107" max="15107" width="10.28515625" style="1" customWidth="1"/>
    <col min="15108" max="15346" width="9.140625" style="1"/>
    <col min="15347" max="15347" width="4.28515625" style="1" bestFit="1" customWidth="1"/>
    <col min="15348" max="15348" width="6.85546875" style="1" bestFit="1" customWidth="1"/>
    <col min="15349" max="15349" width="11" style="1" customWidth="1"/>
    <col min="15350" max="15350" width="11.140625" style="1" bestFit="1" customWidth="1"/>
    <col min="15351" max="15351" width="10.85546875" style="1" customWidth="1"/>
    <col min="15352" max="15352" width="11.5703125" style="1" customWidth="1"/>
    <col min="15353" max="15353" width="11.140625" style="1" bestFit="1" customWidth="1"/>
    <col min="15354" max="15354" width="11" style="1" customWidth="1"/>
    <col min="15355" max="15355" width="10.42578125" style="1" customWidth="1"/>
    <col min="15356" max="15356" width="11.28515625" style="1" customWidth="1"/>
    <col min="15357" max="15358" width="9.140625" style="1" bestFit="1" customWidth="1"/>
    <col min="15359" max="15360" width="11.140625" style="1" bestFit="1" customWidth="1"/>
    <col min="15361" max="15361" width="11.5703125" style="1" bestFit="1" customWidth="1"/>
    <col min="15362" max="15362" width="9.140625" style="1" bestFit="1" customWidth="1"/>
    <col min="15363" max="15363" width="10.28515625" style="1" customWidth="1"/>
    <col min="15364" max="15602" width="9.140625" style="1"/>
    <col min="15603" max="15603" width="4.28515625" style="1" bestFit="1" customWidth="1"/>
    <col min="15604" max="15604" width="6.85546875" style="1" bestFit="1" customWidth="1"/>
    <col min="15605" max="15605" width="11" style="1" customWidth="1"/>
    <col min="15606" max="15606" width="11.140625" style="1" bestFit="1" customWidth="1"/>
    <col min="15607" max="15607" width="10.85546875" style="1" customWidth="1"/>
    <col min="15608" max="15608" width="11.5703125" style="1" customWidth="1"/>
    <col min="15609" max="15609" width="11.140625" style="1" bestFit="1" customWidth="1"/>
    <col min="15610" max="15610" width="11" style="1" customWidth="1"/>
    <col min="15611" max="15611" width="10.42578125" style="1" customWidth="1"/>
    <col min="15612" max="15612" width="11.28515625" style="1" customWidth="1"/>
    <col min="15613" max="15614" width="9.140625" style="1" bestFit="1" customWidth="1"/>
    <col min="15615" max="15616" width="11.140625" style="1" bestFit="1" customWidth="1"/>
    <col min="15617" max="15617" width="11.5703125" style="1" bestFit="1" customWidth="1"/>
    <col min="15618" max="15618" width="9.140625" style="1" bestFit="1" customWidth="1"/>
    <col min="15619" max="15619" width="10.28515625" style="1" customWidth="1"/>
    <col min="15620" max="15858" width="9.140625" style="1"/>
    <col min="15859" max="15859" width="4.28515625" style="1" bestFit="1" customWidth="1"/>
    <col min="15860" max="15860" width="6.85546875" style="1" bestFit="1" customWidth="1"/>
    <col min="15861" max="15861" width="11" style="1" customWidth="1"/>
    <col min="15862" max="15862" width="11.140625" style="1" bestFit="1" customWidth="1"/>
    <col min="15863" max="15863" width="10.85546875" style="1" customWidth="1"/>
    <col min="15864" max="15864" width="11.5703125" style="1" customWidth="1"/>
    <col min="15865" max="15865" width="11.140625" style="1" bestFit="1" customWidth="1"/>
    <col min="15866" max="15866" width="11" style="1" customWidth="1"/>
    <col min="15867" max="15867" width="10.42578125" style="1" customWidth="1"/>
    <col min="15868" max="15868" width="11.28515625" style="1" customWidth="1"/>
    <col min="15869" max="15870" width="9.140625" style="1" bestFit="1" customWidth="1"/>
    <col min="15871" max="15872" width="11.140625" style="1" bestFit="1" customWidth="1"/>
    <col min="15873" max="15873" width="11.5703125" style="1" bestFit="1" customWidth="1"/>
    <col min="15874" max="15874" width="9.140625" style="1" bestFit="1" customWidth="1"/>
    <col min="15875" max="15875" width="10.28515625" style="1" customWidth="1"/>
    <col min="15876" max="16114" width="9.140625" style="1"/>
    <col min="16115" max="16115" width="4.28515625" style="1" bestFit="1" customWidth="1"/>
    <col min="16116" max="16116" width="6.85546875" style="1" bestFit="1" customWidth="1"/>
    <col min="16117" max="16117" width="11" style="1" customWidth="1"/>
    <col min="16118" max="16118" width="11.140625" style="1" bestFit="1" customWidth="1"/>
    <col min="16119" max="16119" width="10.85546875" style="1" customWidth="1"/>
    <col min="16120" max="16120" width="11.5703125" style="1" customWidth="1"/>
    <col min="16121" max="16121" width="11.140625" style="1" bestFit="1" customWidth="1"/>
    <col min="16122" max="16122" width="11" style="1" customWidth="1"/>
    <col min="16123" max="16123" width="10.42578125" style="1" customWidth="1"/>
    <col min="16124" max="16124" width="11.28515625" style="1" customWidth="1"/>
    <col min="16125" max="16126" width="9.140625" style="1" bestFit="1" customWidth="1"/>
    <col min="16127" max="16128" width="11.140625" style="1" bestFit="1" customWidth="1"/>
    <col min="16129" max="16129" width="11.5703125" style="1" bestFit="1" customWidth="1"/>
    <col min="16130" max="16130" width="9.140625" style="1" bestFit="1" customWidth="1"/>
    <col min="16131" max="16131" width="10.28515625" style="1" customWidth="1"/>
    <col min="16132" max="16384" width="9.140625" style="1"/>
  </cols>
  <sheetData>
    <row r="1" spans="1:226" ht="41.25" customHeight="1">
      <c r="A1" s="413"/>
      <c r="B1" s="413"/>
      <c r="C1" s="413"/>
      <c r="D1" s="413"/>
      <c r="E1" s="413"/>
      <c r="F1" s="413"/>
      <c r="G1" s="413"/>
      <c r="H1" s="1789" t="s">
        <v>1051</v>
      </c>
      <c r="I1" s="1789"/>
      <c r="J1" s="1789"/>
    </row>
    <row r="2" spans="1:226" ht="67.5" customHeight="1">
      <c r="A2" s="1790" t="s">
        <v>301</v>
      </c>
      <c r="B2" s="1790"/>
      <c r="C2" s="1790"/>
      <c r="D2" s="1790"/>
      <c r="E2" s="1790"/>
      <c r="F2" s="1790"/>
      <c r="G2" s="1790"/>
      <c r="H2" s="1790"/>
      <c r="I2" s="1790"/>
      <c r="J2" s="1790"/>
    </row>
    <row r="3" spans="1:226" ht="15.75">
      <c r="A3" s="220"/>
      <c r="B3" s="220"/>
      <c r="C3" s="220"/>
      <c r="D3" s="220"/>
      <c r="E3" s="220"/>
      <c r="F3" s="220"/>
      <c r="G3" s="220"/>
      <c r="H3" s="220"/>
      <c r="I3" s="220"/>
      <c r="J3" s="220"/>
    </row>
    <row r="4" spans="1:226" ht="14.25" customHeight="1" thickBot="1">
      <c r="A4" s="1791" t="s">
        <v>21</v>
      </c>
      <c r="B4" s="1791"/>
      <c r="C4" s="1791"/>
      <c r="D4" s="1791"/>
      <c r="E4" s="1791"/>
      <c r="F4" s="1791"/>
      <c r="G4" s="1791"/>
      <c r="H4" s="1791"/>
      <c r="I4" s="1791"/>
      <c r="J4" s="1791"/>
    </row>
    <row r="5" spans="1:226" ht="17.25" customHeight="1">
      <c r="A5" s="1792" t="s">
        <v>15</v>
      </c>
      <c r="B5" s="1794" t="s">
        <v>302</v>
      </c>
      <c r="C5" s="1796" t="s">
        <v>0</v>
      </c>
      <c r="D5" s="1797" t="s">
        <v>1</v>
      </c>
      <c r="E5" s="1799" t="s">
        <v>5</v>
      </c>
      <c r="F5" s="1800" t="s">
        <v>303</v>
      </c>
      <c r="G5" s="1802" t="s">
        <v>2</v>
      </c>
      <c r="H5" s="1802"/>
      <c r="I5" s="1802"/>
      <c r="J5" s="1803"/>
    </row>
    <row r="6" spans="1:226" ht="31.5" customHeight="1">
      <c r="A6" s="1793"/>
      <c r="B6" s="1795"/>
      <c r="C6" s="1795"/>
      <c r="D6" s="1798"/>
      <c r="E6" s="1798"/>
      <c r="F6" s="1801"/>
      <c r="G6" s="1391" t="s">
        <v>304</v>
      </c>
      <c r="H6" s="1391" t="s">
        <v>305</v>
      </c>
      <c r="I6" s="1391" t="s">
        <v>306</v>
      </c>
      <c r="J6" s="1392" t="s">
        <v>307</v>
      </c>
    </row>
    <row r="7" spans="1:226" s="356" customFormat="1" ht="14.25" customHeight="1" thickBot="1">
      <c r="A7" s="1393" t="s">
        <v>308</v>
      </c>
      <c r="B7" s="1394" t="s">
        <v>309</v>
      </c>
      <c r="C7" s="1394" t="s">
        <v>310</v>
      </c>
      <c r="D7" s="1394" t="s">
        <v>311</v>
      </c>
      <c r="E7" s="1394" t="s">
        <v>312</v>
      </c>
      <c r="F7" s="1395" t="s">
        <v>313</v>
      </c>
      <c r="G7" s="1395" t="s">
        <v>314</v>
      </c>
      <c r="H7" s="1395" t="s">
        <v>315</v>
      </c>
      <c r="I7" s="1395" t="s">
        <v>316</v>
      </c>
      <c r="J7" s="1396" t="s">
        <v>317</v>
      </c>
    </row>
    <row r="8" spans="1:226" s="415" customFormat="1" ht="16.5" customHeight="1" thickBot="1">
      <c r="A8" s="414" t="s">
        <v>318</v>
      </c>
      <c r="B8" s="1768" t="s">
        <v>319</v>
      </c>
      <c r="C8" s="1768"/>
      <c r="D8" s="1768"/>
      <c r="E8" s="1768"/>
      <c r="F8" s="1397">
        <f>F10+F17+F25+F44+F57+F75+F91+F128+F141+F154+F170+F184+F197+F213+F227+F245+F268+F291+F302+F340+F371+F388+F415+F440+F463+F479+F496+F515+F538+F551+F572+F607</f>
        <v>290728531</v>
      </c>
      <c r="G8" s="1397">
        <f t="shared" ref="G8:J8" si="0">G10+G17+G25+G44+G57+G75+G91+G128+G141+G154+G170+G184+G197+G213+G227+G245+G268+G291+G302+G340+G371+G388+G415+G440+G463+G479+G496+G515+G538+G551+G572+G607</f>
        <v>38609210</v>
      </c>
      <c r="H8" s="1397">
        <f t="shared" si="0"/>
        <v>181049404</v>
      </c>
      <c r="I8" s="1397">
        <f t="shared" si="0"/>
        <v>71069917</v>
      </c>
      <c r="J8" s="1398">
        <f t="shared" si="0"/>
        <v>0</v>
      </c>
    </row>
    <row r="9" spans="1:226" s="379" customFormat="1">
      <c r="A9" s="1769"/>
      <c r="B9" s="1770"/>
      <c r="C9" s="1770"/>
      <c r="D9" s="1770"/>
      <c r="E9" s="1770"/>
      <c r="F9" s="1770"/>
      <c r="G9" s="1770"/>
      <c r="H9" s="1770"/>
      <c r="I9" s="1770"/>
      <c r="J9" s="1771"/>
    </row>
    <row r="10" spans="1:226" s="418" customFormat="1" ht="27" customHeight="1">
      <c r="A10" s="1772" t="s">
        <v>320</v>
      </c>
      <c r="B10" s="1774" t="s">
        <v>321</v>
      </c>
      <c r="C10" s="1776"/>
      <c r="D10" s="1777"/>
      <c r="E10" s="1343" t="s">
        <v>322</v>
      </c>
      <c r="F10" s="1344">
        <f>SUM(F11,F15)</f>
        <v>2500000</v>
      </c>
      <c r="G10" s="1344">
        <f>SUM(G11,G15)</f>
        <v>0</v>
      </c>
      <c r="H10" s="1344">
        <f>SUM(H11,H15)</f>
        <v>0</v>
      </c>
      <c r="I10" s="1344">
        <f>SUM(I11,I15)</f>
        <v>2500000</v>
      </c>
      <c r="J10" s="1345">
        <f>SUM(J11,J15)</f>
        <v>0</v>
      </c>
      <c r="K10" s="416"/>
      <c r="L10" s="417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6"/>
      <c r="Y10" s="416"/>
      <c r="Z10" s="416"/>
      <c r="AA10" s="416"/>
      <c r="AB10" s="416"/>
      <c r="AC10" s="416"/>
      <c r="AD10" s="416"/>
      <c r="AE10" s="416"/>
      <c r="AF10" s="416"/>
      <c r="AG10" s="416"/>
      <c r="AH10" s="416"/>
      <c r="AI10" s="416"/>
      <c r="AJ10" s="416"/>
      <c r="AK10" s="416"/>
      <c r="AL10" s="416"/>
      <c r="AM10" s="416"/>
      <c r="AN10" s="416"/>
      <c r="AO10" s="416"/>
      <c r="AP10" s="416"/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  <c r="BA10" s="416"/>
      <c r="BB10" s="416"/>
      <c r="BC10" s="416"/>
      <c r="BD10" s="416"/>
      <c r="BE10" s="416"/>
      <c r="BF10" s="416"/>
      <c r="BG10" s="416"/>
      <c r="BH10" s="416"/>
      <c r="BI10" s="416"/>
      <c r="BJ10" s="416"/>
      <c r="BK10" s="416"/>
      <c r="BL10" s="416"/>
      <c r="BM10" s="416"/>
      <c r="BN10" s="416"/>
      <c r="BO10" s="416"/>
      <c r="BP10" s="416"/>
      <c r="BQ10" s="416"/>
      <c r="BR10" s="416"/>
      <c r="BS10" s="416"/>
      <c r="BT10" s="416"/>
      <c r="BU10" s="416"/>
      <c r="BV10" s="416"/>
      <c r="BW10" s="416"/>
      <c r="BX10" s="416"/>
      <c r="BY10" s="416"/>
      <c r="BZ10" s="416"/>
      <c r="CA10" s="416"/>
      <c r="CB10" s="416"/>
      <c r="CC10" s="416"/>
      <c r="CD10" s="416"/>
      <c r="CE10" s="416"/>
      <c r="CF10" s="416"/>
      <c r="CG10" s="416"/>
      <c r="CH10" s="416"/>
      <c r="CI10" s="416"/>
      <c r="CJ10" s="416"/>
      <c r="CK10" s="416"/>
      <c r="CL10" s="416"/>
      <c r="CM10" s="416"/>
      <c r="CN10" s="416"/>
      <c r="CO10" s="416"/>
      <c r="CP10" s="416"/>
      <c r="CQ10" s="416"/>
      <c r="CR10" s="416"/>
      <c r="CS10" s="416"/>
      <c r="CT10" s="416"/>
      <c r="CU10" s="416"/>
      <c r="CV10" s="416"/>
      <c r="CW10" s="416"/>
      <c r="CX10" s="416"/>
      <c r="CY10" s="416"/>
      <c r="CZ10" s="416"/>
      <c r="DA10" s="416"/>
      <c r="DB10" s="416"/>
      <c r="DC10" s="416"/>
      <c r="DD10" s="416"/>
      <c r="DE10" s="416"/>
      <c r="DF10" s="416"/>
      <c r="DG10" s="416"/>
      <c r="DH10" s="416"/>
      <c r="DI10" s="416"/>
      <c r="DJ10" s="416"/>
      <c r="DK10" s="416"/>
      <c r="DL10" s="416"/>
      <c r="DM10" s="416"/>
      <c r="DN10" s="416"/>
      <c r="DO10" s="416"/>
      <c r="DP10" s="416"/>
      <c r="DQ10" s="416"/>
      <c r="DR10" s="416"/>
      <c r="DS10" s="416"/>
      <c r="DT10" s="416"/>
      <c r="DU10" s="416"/>
      <c r="DV10" s="416"/>
      <c r="DW10" s="416"/>
      <c r="DX10" s="416"/>
      <c r="DY10" s="416"/>
      <c r="DZ10" s="416"/>
      <c r="EA10" s="416"/>
      <c r="EB10" s="416"/>
      <c r="EC10" s="416"/>
      <c r="ED10" s="416"/>
      <c r="EE10" s="416"/>
      <c r="EF10" s="416"/>
      <c r="EG10" s="416"/>
      <c r="EH10" s="416"/>
      <c r="EI10" s="416"/>
      <c r="EJ10" s="416"/>
      <c r="EK10" s="416"/>
      <c r="EL10" s="416"/>
      <c r="EM10" s="416"/>
      <c r="EN10" s="416"/>
      <c r="EO10" s="416"/>
      <c r="EP10" s="416"/>
      <c r="EQ10" s="416"/>
      <c r="ER10" s="416"/>
      <c r="ES10" s="416"/>
      <c r="ET10" s="416"/>
      <c r="EU10" s="416"/>
      <c r="EV10" s="416"/>
      <c r="EW10" s="416"/>
      <c r="EX10" s="416"/>
      <c r="EY10" s="416"/>
      <c r="EZ10" s="416"/>
      <c r="FA10" s="416"/>
      <c r="FB10" s="416"/>
      <c r="FC10" s="416"/>
      <c r="FD10" s="416"/>
      <c r="FE10" s="416"/>
      <c r="FF10" s="416"/>
      <c r="FG10" s="416"/>
      <c r="FH10" s="416"/>
      <c r="FI10" s="416"/>
      <c r="FJ10" s="416"/>
      <c r="FK10" s="416"/>
      <c r="FL10" s="416"/>
      <c r="FM10" s="416"/>
      <c r="FN10" s="416"/>
      <c r="FO10" s="416"/>
      <c r="FP10" s="416"/>
      <c r="FQ10" s="416"/>
      <c r="FR10" s="416"/>
      <c r="FS10" s="416"/>
      <c r="FT10" s="416"/>
      <c r="FU10" s="416"/>
      <c r="FV10" s="416"/>
      <c r="FW10" s="416"/>
      <c r="FX10" s="416"/>
      <c r="FY10" s="416"/>
      <c r="FZ10" s="416"/>
      <c r="GA10" s="416"/>
      <c r="GB10" s="416"/>
      <c r="GC10" s="416"/>
      <c r="GD10" s="416"/>
      <c r="GE10" s="416"/>
      <c r="GF10" s="416"/>
      <c r="GG10" s="416"/>
      <c r="GH10" s="416"/>
      <c r="GI10" s="416"/>
      <c r="GJ10" s="416"/>
      <c r="GK10" s="416"/>
      <c r="GL10" s="416"/>
      <c r="GM10" s="416"/>
      <c r="GN10" s="416"/>
      <c r="GO10" s="416"/>
      <c r="GP10" s="416"/>
      <c r="GQ10" s="416"/>
      <c r="GR10" s="416"/>
      <c r="GS10" s="416"/>
      <c r="GT10" s="416"/>
      <c r="GU10" s="416"/>
      <c r="GV10" s="416"/>
      <c r="GW10" s="416"/>
      <c r="GX10" s="416"/>
      <c r="GY10" s="416"/>
      <c r="GZ10" s="416"/>
      <c r="HA10" s="416"/>
      <c r="HB10" s="416"/>
      <c r="HC10" s="416"/>
      <c r="HD10" s="416"/>
      <c r="HE10" s="416"/>
      <c r="HF10" s="416"/>
      <c r="HG10" s="416"/>
      <c r="HH10" s="416"/>
      <c r="HI10" s="416"/>
      <c r="HJ10" s="416"/>
      <c r="HK10" s="416"/>
      <c r="HL10" s="416"/>
      <c r="HM10" s="416"/>
      <c r="HN10" s="416"/>
      <c r="HO10" s="416"/>
      <c r="HP10" s="416"/>
      <c r="HQ10" s="416"/>
      <c r="HR10" s="416"/>
    </row>
    <row r="11" spans="1:226" s="418" customFormat="1" ht="20.25" customHeight="1">
      <c r="A11" s="1772"/>
      <c r="B11" s="1774"/>
      <c r="C11" s="1778"/>
      <c r="D11" s="1779"/>
      <c r="E11" s="1346" t="s">
        <v>323</v>
      </c>
      <c r="F11" s="1347">
        <f>SUM(F12:F14)</f>
        <v>0</v>
      </c>
      <c r="G11" s="1347">
        <f>SUM(G12:G14)</f>
        <v>0</v>
      </c>
      <c r="H11" s="1347">
        <f>SUM(H12:H14)</f>
        <v>0</v>
      </c>
      <c r="I11" s="1347">
        <f>SUM(I12:I14)</f>
        <v>0</v>
      </c>
      <c r="J11" s="1348">
        <f>SUM(J12:J14)</f>
        <v>0</v>
      </c>
      <c r="K11" s="416"/>
    </row>
    <row r="12" spans="1:226" s="418" customFormat="1" ht="15" hidden="1" customHeight="1">
      <c r="A12" s="1772"/>
      <c r="B12" s="1774"/>
      <c r="C12" s="1778"/>
      <c r="D12" s="1779"/>
      <c r="E12" s="1352"/>
      <c r="F12" s="1353">
        <f>SUM(G12:J12)</f>
        <v>0</v>
      </c>
      <c r="G12" s="1353"/>
      <c r="H12" s="1353"/>
      <c r="I12" s="1353"/>
      <c r="J12" s="1354"/>
      <c r="K12" s="416"/>
    </row>
    <row r="13" spans="1:226" s="418" customFormat="1" ht="15" hidden="1" customHeight="1">
      <c r="A13" s="1772"/>
      <c r="B13" s="1774"/>
      <c r="C13" s="1778"/>
      <c r="D13" s="1779"/>
      <c r="E13" s="1352"/>
      <c r="F13" s="1353">
        <f>SUM(G13:J13)</f>
        <v>0</v>
      </c>
      <c r="G13" s="1353"/>
      <c r="H13" s="1353"/>
      <c r="I13" s="1353"/>
      <c r="J13" s="1354"/>
      <c r="K13" s="416"/>
    </row>
    <row r="14" spans="1:226" s="418" customFormat="1" ht="15" hidden="1" customHeight="1">
      <c r="A14" s="1772"/>
      <c r="B14" s="1774"/>
      <c r="C14" s="1778"/>
      <c r="D14" s="1779"/>
      <c r="E14" s="1352"/>
      <c r="F14" s="1353">
        <f>SUM(G14:J14)</f>
        <v>0</v>
      </c>
      <c r="G14" s="1353"/>
      <c r="H14" s="1353"/>
      <c r="I14" s="1353"/>
      <c r="J14" s="1354"/>
      <c r="K14" s="416"/>
    </row>
    <row r="15" spans="1:226" s="418" customFormat="1" ht="21" customHeight="1">
      <c r="A15" s="1772"/>
      <c r="B15" s="1774"/>
      <c r="C15" s="1780"/>
      <c r="D15" s="1781"/>
      <c r="E15" s="1355" t="s">
        <v>324</v>
      </c>
      <c r="F15" s="1347">
        <f>SUM(F16:F16)</f>
        <v>2500000</v>
      </c>
      <c r="G15" s="1347">
        <f>SUM(G16:G16)</f>
        <v>0</v>
      </c>
      <c r="H15" s="1347">
        <f>SUM(H16:H16)</f>
        <v>0</v>
      </c>
      <c r="I15" s="1347">
        <f>SUM(I16:I16)</f>
        <v>2500000</v>
      </c>
      <c r="J15" s="1348">
        <f>SUM(J16:J16)</f>
        <v>0</v>
      </c>
      <c r="K15" s="416"/>
    </row>
    <row r="16" spans="1:226" s="418" customFormat="1" ht="15.75" customHeight="1" thickBot="1">
      <c r="A16" s="1773"/>
      <c r="B16" s="1775"/>
      <c r="C16" s="1385">
        <v>150</v>
      </c>
      <c r="D16" s="1384" t="s">
        <v>325</v>
      </c>
      <c r="E16" s="1384" t="s">
        <v>326</v>
      </c>
      <c r="F16" s="1359">
        <f t="shared" ref="F16" si="1">SUM(G16:J16)</f>
        <v>2500000</v>
      </c>
      <c r="G16" s="1359"/>
      <c r="H16" s="1359"/>
      <c r="I16" s="1359">
        <v>2500000</v>
      </c>
      <c r="J16" s="1360"/>
      <c r="K16" s="416"/>
    </row>
    <row r="17" spans="1:226" s="418" customFormat="1" ht="22.5">
      <c r="A17" s="1782" t="s">
        <v>327</v>
      </c>
      <c r="B17" s="1784" t="s">
        <v>328</v>
      </c>
      <c r="C17" s="1787"/>
      <c r="D17" s="1788"/>
      <c r="E17" s="1415" t="s">
        <v>322</v>
      </c>
      <c r="F17" s="1362">
        <f>SUM(F18,F22)</f>
        <v>19974758</v>
      </c>
      <c r="G17" s="1362">
        <f>SUM(G18,G22)</f>
        <v>0</v>
      </c>
      <c r="H17" s="1362">
        <f>SUM(H18,H22)</f>
        <v>0</v>
      </c>
      <c r="I17" s="1362">
        <f>SUM(I18,I22)</f>
        <v>19974758</v>
      </c>
      <c r="J17" s="1363">
        <f>SUM(J18,J22)</f>
        <v>0</v>
      </c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/>
      <c r="AJ17" s="416"/>
      <c r="AK17" s="416"/>
      <c r="AL17" s="416"/>
      <c r="AM17" s="416"/>
      <c r="AN17" s="416"/>
      <c r="AO17" s="416"/>
      <c r="AP17" s="416"/>
      <c r="AQ17" s="416"/>
      <c r="AR17" s="416"/>
      <c r="AS17" s="416"/>
      <c r="AT17" s="416"/>
      <c r="AU17" s="416"/>
      <c r="AV17" s="416"/>
      <c r="AW17" s="416"/>
      <c r="AX17" s="416"/>
      <c r="AY17" s="416"/>
      <c r="AZ17" s="416"/>
      <c r="BA17" s="416"/>
      <c r="BB17" s="416"/>
      <c r="BC17" s="416"/>
      <c r="BD17" s="416"/>
      <c r="BE17" s="416"/>
      <c r="BF17" s="416"/>
      <c r="BG17" s="416"/>
      <c r="BH17" s="416"/>
      <c r="BI17" s="416"/>
      <c r="BJ17" s="416"/>
      <c r="BK17" s="416"/>
      <c r="BL17" s="416"/>
      <c r="BM17" s="416"/>
      <c r="BN17" s="416"/>
      <c r="BO17" s="416"/>
      <c r="BP17" s="416"/>
      <c r="BQ17" s="416"/>
      <c r="BR17" s="416"/>
      <c r="BS17" s="416"/>
      <c r="BT17" s="416"/>
      <c r="BU17" s="416"/>
      <c r="BV17" s="416"/>
      <c r="BW17" s="416"/>
      <c r="BX17" s="416"/>
      <c r="BY17" s="416"/>
      <c r="BZ17" s="416"/>
      <c r="CA17" s="416"/>
      <c r="CB17" s="416"/>
      <c r="CC17" s="416"/>
      <c r="CD17" s="416"/>
      <c r="CE17" s="416"/>
      <c r="CF17" s="416"/>
      <c r="CG17" s="416"/>
      <c r="CH17" s="416"/>
      <c r="CI17" s="416"/>
      <c r="CJ17" s="416"/>
      <c r="CK17" s="416"/>
      <c r="CL17" s="416"/>
      <c r="CM17" s="416"/>
      <c r="CN17" s="416"/>
      <c r="CO17" s="416"/>
      <c r="CP17" s="416"/>
      <c r="CQ17" s="416"/>
      <c r="CR17" s="416"/>
      <c r="CS17" s="416"/>
      <c r="CT17" s="416"/>
      <c r="CU17" s="416"/>
      <c r="CV17" s="416"/>
      <c r="CW17" s="416"/>
      <c r="CX17" s="416"/>
      <c r="CY17" s="416"/>
      <c r="CZ17" s="416"/>
      <c r="DA17" s="416"/>
      <c r="DB17" s="416"/>
      <c r="DC17" s="416"/>
      <c r="DD17" s="416"/>
      <c r="DE17" s="416"/>
      <c r="DF17" s="416"/>
      <c r="DG17" s="416"/>
      <c r="DH17" s="416"/>
      <c r="DI17" s="416"/>
      <c r="DJ17" s="416"/>
      <c r="DK17" s="416"/>
      <c r="DL17" s="416"/>
      <c r="DM17" s="416"/>
      <c r="DN17" s="416"/>
      <c r="DO17" s="416"/>
      <c r="DP17" s="416"/>
      <c r="DQ17" s="416"/>
      <c r="DR17" s="416"/>
      <c r="DS17" s="416"/>
      <c r="DT17" s="416"/>
      <c r="DU17" s="416"/>
      <c r="DV17" s="416"/>
      <c r="DW17" s="416"/>
      <c r="DX17" s="416"/>
      <c r="DY17" s="416"/>
      <c r="DZ17" s="416"/>
      <c r="EA17" s="416"/>
      <c r="EB17" s="416"/>
      <c r="EC17" s="416"/>
      <c r="ED17" s="416"/>
      <c r="EE17" s="416"/>
      <c r="EF17" s="416"/>
      <c r="EG17" s="416"/>
      <c r="EH17" s="416"/>
      <c r="EI17" s="416"/>
      <c r="EJ17" s="416"/>
      <c r="EK17" s="416"/>
      <c r="EL17" s="416"/>
      <c r="EM17" s="416"/>
      <c r="EN17" s="416"/>
      <c r="EO17" s="416"/>
      <c r="EP17" s="416"/>
      <c r="EQ17" s="416"/>
      <c r="ER17" s="416"/>
      <c r="ES17" s="416"/>
      <c r="ET17" s="416"/>
      <c r="EU17" s="416"/>
      <c r="EV17" s="416"/>
      <c r="EW17" s="416"/>
      <c r="EX17" s="416"/>
      <c r="EY17" s="416"/>
      <c r="EZ17" s="416"/>
      <c r="FA17" s="416"/>
      <c r="FB17" s="416"/>
      <c r="FC17" s="416"/>
      <c r="FD17" s="416"/>
      <c r="FE17" s="416"/>
      <c r="FF17" s="416"/>
      <c r="FG17" s="416"/>
      <c r="FH17" s="416"/>
      <c r="FI17" s="416"/>
      <c r="FJ17" s="416"/>
      <c r="FK17" s="416"/>
      <c r="FL17" s="416"/>
      <c r="FM17" s="416"/>
      <c r="FN17" s="416"/>
      <c r="FO17" s="416"/>
      <c r="FP17" s="416"/>
      <c r="FQ17" s="416"/>
      <c r="FR17" s="416"/>
      <c r="FS17" s="416"/>
      <c r="FT17" s="416"/>
      <c r="FU17" s="416"/>
      <c r="FV17" s="416"/>
      <c r="FW17" s="416"/>
      <c r="FX17" s="416"/>
      <c r="FY17" s="416"/>
      <c r="FZ17" s="416"/>
      <c r="GA17" s="416"/>
      <c r="GB17" s="416"/>
      <c r="GC17" s="416"/>
      <c r="GD17" s="416"/>
      <c r="GE17" s="416"/>
      <c r="GF17" s="416"/>
      <c r="GG17" s="416"/>
      <c r="GH17" s="416"/>
      <c r="GI17" s="416"/>
      <c r="GJ17" s="416"/>
      <c r="GK17" s="416"/>
      <c r="GL17" s="416"/>
      <c r="GM17" s="416"/>
      <c r="GN17" s="416"/>
      <c r="GO17" s="416"/>
      <c r="GP17" s="416"/>
      <c r="GQ17" s="416"/>
      <c r="GR17" s="416"/>
      <c r="GS17" s="416"/>
      <c r="GT17" s="416"/>
      <c r="GU17" s="416"/>
      <c r="GV17" s="416"/>
      <c r="GW17" s="416"/>
      <c r="GX17" s="416"/>
      <c r="GY17" s="416"/>
      <c r="GZ17" s="416"/>
      <c r="HA17" s="416"/>
      <c r="HB17" s="416"/>
      <c r="HC17" s="416"/>
      <c r="HD17" s="416"/>
      <c r="HE17" s="416"/>
      <c r="HF17" s="416"/>
      <c r="HG17" s="416"/>
      <c r="HH17" s="416"/>
      <c r="HI17" s="416"/>
      <c r="HJ17" s="416"/>
      <c r="HK17" s="416"/>
      <c r="HL17" s="416"/>
      <c r="HM17" s="416"/>
      <c r="HN17" s="416"/>
      <c r="HO17" s="416"/>
      <c r="HP17" s="416"/>
      <c r="HQ17" s="416"/>
      <c r="HR17" s="416"/>
    </row>
    <row r="18" spans="1:226" s="418" customFormat="1" ht="18" customHeight="1">
      <c r="A18" s="1772"/>
      <c r="B18" s="1785"/>
      <c r="C18" s="1778"/>
      <c r="D18" s="1779"/>
      <c r="E18" s="1399" t="s">
        <v>323</v>
      </c>
      <c r="F18" s="1347">
        <f>SUM(F19:F21)</f>
        <v>0</v>
      </c>
      <c r="G18" s="1347">
        <f>SUM(G19:G21)</f>
        <v>0</v>
      </c>
      <c r="H18" s="1347">
        <f>SUM(H19:H21)</f>
        <v>0</v>
      </c>
      <c r="I18" s="1347">
        <f>SUM(I19:I21)</f>
        <v>0</v>
      </c>
      <c r="J18" s="1348">
        <f>SUM(J19:J21)</f>
        <v>0</v>
      </c>
      <c r="K18" s="416"/>
    </row>
    <row r="19" spans="1:226" s="418" customFormat="1" ht="15" hidden="1" customHeight="1">
      <c r="A19" s="1772"/>
      <c r="B19" s="1785"/>
      <c r="C19" s="1778"/>
      <c r="D19" s="1779"/>
      <c r="E19" s="1400"/>
      <c r="F19" s="1353">
        <f>SUM(G19:J19)</f>
        <v>0</v>
      </c>
      <c r="G19" s="1353"/>
      <c r="H19" s="1353"/>
      <c r="I19" s="1353"/>
      <c r="J19" s="1354"/>
      <c r="K19" s="416"/>
    </row>
    <row r="20" spans="1:226" s="418" customFormat="1" ht="15" hidden="1" customHeight="1">
      <c r="A20" s="1772"/>
      <c r="B20" s="1785"/>
      <c r="C20" s="1778"/>
      <c r="D20" s="1779"/>
      <c r="E20" s="1400"/>
      <c r="F20" s="1353">
        <f>SUM(G20:J20)</f>
        <v>0</v>
      </c>
      <c r="G20" s="1353"/>
      <c r="H20" s="1353"/>
      <c r="I20" s="1353"/>
      <c r="J20" s="1354"/>
      <c r="K20" s="416"/>
    </row>
    <row r="21" spans="1:226" s="418" customFormat="1" ht="15" hidden="1" customHeight="1">
      <c r="A21" s="1772"/>
      <c r="B21" s="1785"/>
      <c r="C21" s="1778"/>
      <c r="D21" s="1779"/>
      <c r="E21" s="1400"/>
      <c r="F21" s="1353">
        <f>SUM(G21:J21)</f>
        <v>0</v>
      </c>
      <c r="G21" s="1353"/>
      <c r="H21" s="1353"/>
      <c r="I21" s="1353"/>
      <c r="J21" s="1354"/>
      <c r="K21" s="416"/>
    </row>
    <row r="22" spans="1:226" s="418" customFormat="1" ht="18.75" customHeight="1">
      <c r="A22" s="1772"/>
      <c r="B22" s="1785"/>
      <c r="C22" s="1780"/>
      <c r="D22" s="1781"/>
      <c r="E22" s="1401" t="s">
        <v>324</v>
      </c>
      <c r="F22" s="1347">
        <f>SUM(F23:F24)</f>
        <v>19974758</v>
      </c>
      <c r="G22" s="1347">
        <f t="shared" ref="G22:J22" si="2">SUM(G23:G24)</f>
        <v>0</v>
      </c>
      <c r="H22" s="1347">
        <f t="shared" si="2"/>
        <v>0</v>
      </c>
      <c r="I22" s="1347">
        <f t="shared" si="2"/>
        <v>19974758</v>
      </c>
      <c r="J22" s="1348">
        <f t="shared" si="2"/>
        <v>0</v>
      </c>
      <c r="K22" s="416"/>
    </row>
    <row r="23" spans="1:226" s="416" customFormat="1" ht="20.100000000000001" customHeight="1">
      <c r="A23" s="1772"/>
      <c r="B23" s="1785"/>
      <c r="C23" s="1402">
        <v>150</v>
      </c>
      <c r="D23" s="1352" t="s">
        <v>325</v>
      </c>
      <c r="E23" s="1400" t="s">
        <v>329</v>
      </c>
      <c r="F23" s="1353">
        <f t="shared" ref="F23:F24" si="3">SUM(G23:J23)</f>
        <v>12968812</v>
      </c>
      <c r="G23" s="1353"/>
      <c r="H23" s="1353"/>
      <c r="I23" s="1353">
        <v>12968812</v>
      </c>
      <c r="J23" s="1354"/>
    </row>
    <row r="24" spans="1:226" s="418" customFormat="1" ht="20.100000000000001" customHeight="1" thickBot="1">
      <c r="A24" s="1783"/>
      <c r="B24" s="1786"/>
      <c r="C24" s="1416">
        <v>851</v>
      </c>
      <c r="D24" s="1374" t="s">
        <v>330</v>
      </c>
      <c r="E24" s="1417" t="s">
        <v>329</v>
      </c>
      <c r="F24" s="1357">
        <f t="shared" si="3"/>
        <v>7005946</v>
      </c>
      <c r="G24" s="1357"/>
      <c r="H24" s="1357"/>
      <c r="I24" s="1357">
        <v>7005946</v>
      </c>
      <c r="J24" s="1373"/>
      <c r="K24" s="416"/>
    </row>
    <row r="25" spans="1:226" s="418" customFormat="1" ht="22.5">
      <c r="A25" s="1782" t="s">
        <v>331</v>
      </c>
      <c r="B25" s="1820" t="s">
        <v>332</v>
      </c>
      <c r="C25" s="1822">
        <v>750</v>
      </c>
      <c r="D25" s="1824" t="s">
        <v>333</v>
      </c>
      <c r="E25" s="1361" t="s">
        <v>322</v>
      </c>
      <c r="F25" s="1362">
        <f>SUM(F26,F41)</f>
        <v>2950000</v>
      </c>
      <c r="G25" s="1362">
        <f>SUM(G26,G41)</f>
        <v>442500</v>
      </c>
      <c r="H25" s="1362">
        <f>SUM(H26,H41)</f>
        <v>0</v>
      </c>
      <c r="I25" s="1362">
        <f>SUM(I26,I41)</f>
        <v>2507500</v>
      </c>
      <c r="J25" s="1363">
        <f>SUM(J26,J41)</f>
        <v>0</v>
      </c>
      <c r="K25" s="417"/>
      <c r="L25" s="417"/>
      <c r="M25" s="417"/>
      <c r="N25" s="417"/>
      <c r="O25" s="417"/>
      <c r="P25" s="417"/>
      <c r="Q25" s="417"/>
      <c r="R25" s="417"/>
      <c r="S25" s="417"/>
    </row>
    <row r="26" spans="1:226" s="418" customFormat="1" ht="21">
      <c r="A26" s="1772"/>
      <c r="B26" s="1774"/>
      <c r="C26" s="1804"/>
      <c r="D26" s="1806"/>
      <c r="E26" s="1346" t="s">
        <v>334</v>
      </c>
      <c r="F26" s="1347">
        <f>SUM(F27,F32)</f>
        <v>2950000</v>
      </c>
      <c r="G26" s="1347">
        <f>SUM(G27,G32)</f>
        <v>442500</v>
      </c>
      <c r="H26" s="1347">
        <f>SUM(H27,H32)</f>
        <v>0</v>
      </c>
      <c r="I26" s="1347">
        <f>SUM(I27,I32)</f>
        <v>2507500</v>
      </c>
      <c r="J26" s="1348">
        <f>SUM(J27,J32)</f>
        <v>0</v>
      </c>
      <c r="K26" s="416"/>
      <c r="L26" s="419"/>
    </row>
    <row r="27" spans="1:226" s="418" customFormat="1" ht="22.5">
      <c r="A27" s="1772"/>
      <c r="B27" s="1774"/>
      <c r="C27" s="1804"/>
      <c r="D27" s="1806"/>
      <c r="E27" s="1349" t="s">
        <v>335</v>
      </c>
      <c r="F27" s="1350">
        <f>SUM(F28:F31)</f>
        <v>450000</v>
      </c>
      <c r="G27" s="1350">
        <f>SUM(G28:G31)</f>
        <v>67500</v>
      </c>
      <c r="H27" s="1350">
        <f>SUM(H28:H31)</f>
        <v>0</v>
      </c>
      <c r="I27" s="1350">
        <f>SUM(I28:I31)</f>
        <v>382500</v>
      </c>
      <c r="J27" s="1351">
        <f>SUM(J28:J31)</f>
        <v>0</v>
      </c>
      <c r="K27" s="416"/>
      <c r="L27" s="419"/>
    </row>
    <row r="28" spans="1:226" s="418" customFormat="1" ht="15" hidden="1" customHeight="1">
      <c r="A28" s="1772"/>
      <c r="B28" s="1774"/>
      <c r="C28" s="1804"/>
      <c r="D28" s="1806"/>
      <c r="E28" s="1352" t="s">
        <v>336</v>
      </c>
      <c r="F28" s="1353">
        <f>SUM(G28:J28)</f>
        <v>0</v>
      </c>
      <c r="G28" s="1353"/>
      <c r="H28" s="1353"/>
      <c r="I28" s="1353"/>
      <c r="J28" s="1354"/>
      <c r="K28" s="416"/>
    </row>
    <row r="29" spans="1:226" s="418" customFormat="1" ht="15" hidden="1" customHeight="1">
      <c r="A29" s="1772"/>
      <c r="B29" s="1774"/>
      <c r="C29" s="1804"/>
      <c r="D29" s="1806"/>
      <c r="E29" s="1352" t="s">
        <v>337</v>
      </c>
      <c r="F29" s="1353">
        <f>SUM(G29:J29)</f>
        <v>0</v>
      </c>
      <c r="G29" s="1353"/>
      <c r="H29" s="1353"/>
      <c r="I29" s="1353"/>
      <c r="J29" s="1354"/>
      <c r="K29" s="416"/>
    </row>
    <row r="30" spans="1:226" s="418" customFormat="1" ht="15" customHeight="1">
      <c r="A30" s="1772"/>
      <c r="B30" s="1774"/>
      <c r="C30" s="1804"/>
      <c r="D30" s="1806"/>
      <c r="E30" s="1352" t="s">
        <v>338</v>
      </c>
      <c r="F30" s="1353">
        <f>SUM(G30:J30)</f>
        <v>382500</v>
      </c>
      <c r="G30" s="1353"/>
      <c r="H30" s="1353"/>
      <c r="I30" s="1353">
        <v>382500</v>
      </c>
      <c r="J30" s="1354"/>
      <c r="K30" s="416"/>
    </row>
    <row r="31" spans="1:226" s="418" customFormat="1" ht="15" customHeight="1">
      <c r="A31" s="1772"/>
      <c r="B31" s="1774"/>
      <c r="C31" s="1804"/>
      <c r="D31" s="1806"/>
      <c r="E31" s="1352" t="s">
        <v>339</v>
      </c>
      <c r="F31" s="1353">
        <f>SUM(G31:J31)</f>
        <v>67500</v>
      </c>
      <c r="G31" s="1353">
        <v>67500</v>
      </c>
      <c r="H31" s="1353"/>
      <c r="I31" s="1353"/>
      <c r="J31" s="1354"/>
      <c r="K31" s="416"/>
    </row>
    <row r="32" spans="1:226" s="418" customFormat="1" ht="22.5">
      <c r="A32" s="1772"/>
      <c r="B32" s="1774"/>
      <c r="C32" s="1804"/>
      <c r="D32" s="1806"/>
      <c r="E32" s="1349" t="s">
        <v>340</v>
      </c>
      <c r="F32" s="1350">
        <f>SUM(F33:F40)</f>
        <v>2500000</v>
      </c>
      <c r="G32" s="1350">
        <f>SUM(G33:G40)</f>
        <v>375000</v>
      </c>
      <c r="H32" s="1350">
        <f>SUM(H33:H40)</f>
        <v>0</v>
      </c>
      <c r="I32" s="1350">
        <f>SUM(I33:I40)</f>
        <v>2125000</v>
      </c>
      <c r="J32" s="1351">
        <f>SUM(J33:J40)</f>
        <v>0</v>
      </c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6"/>
      <c r="W32" s="416"/>
      <c r="X32" s="416"/>
      <c r="Y32" s="416"/>
      <c r="Z32" s="416"/>
      <c r="AA32" s="416"/>
      <c r="AB32" s="416"/>
      <c r="AC32" s="416"/>
      <c r="AD32" s="416"/>
      <c r="AE32" s="416"/>
      <c r="AF32" s="416"/>
      <c r="AG32" s="416"/>
      <c r="AH32" s="416"/>
      <c r="AI32" s="416"/>
      <c r="AJ32" s="416"/>
      <c r="AK32" s="416"/>
      <c r="AL32" s="416"/>
      <c r="AM32" s="416"/>
      <c r="AN32" s="416"/>
      <c r="AO32" s="416"/>
      <c r="AP32" s="416"/>
      <c r="AQ32" s="416"/>
      <c r="AR32" s="416"/>
      <c r="AS32" s="416"/>
      <c r="AT32" s="416"/>
      <c r="AU32" s="416"/>
      <c r="AV32" s="416"/>
      <c r="AW32" s="416"/>
      <c r="AX32" s="416"/>
      <c r="AY32" s="416"/>
      <c r="AZ32" s="416"/>
      <c r="BA32" s="416"/>
      <c r="BB32" s="416"/>
      <c r="BC32" s="416"/>
      <c r="BD32" s="416"/>
      <c r="BE32" s="416"/>
      <c r="BF32" s="416"/>
      <c r="BG32" s="416"/>
      <c r="BH32" s="416"/>
      <c r="BI32" s="416"/>
      <c r="BJ32" s="416"/>
      <c r="BK32" s="416"/>
      <c r="BL32" s="416"/>
      <c r="BM32" s="416"/>
      <c r="BN32" s="416"/>
      <c r="BO32" s="416"/>
      <c r="BP32" s="416"/>
      <c r="BQ32" s="416"/>
      <c r="BR32" s="416"/>
      <c r="BS32" s="416"/>
      <c r="BT32" s="416"/>
      <c r="BU32" s="416"/>
      <c r="BV32" s="416"/>
      <c r="BW32" s="416"/>
      <c r="BX32" s="416"/>
      <c r="BY32" s="416"/>
      <c r="BZ32" s="416"/>
      <c r="CA32" s="416"/>
      <c r="CB32" s="416"/>
      <c r="CC32" s="416"/>
      <c r="CD32" s="416"/>
      <c r="CE32" s="416"/>
      <c r="CF32" s="416"/>
      <c r="CG32" s="416"/>
      <c r="CH32" s="416"/>
      <c r="CI32" s="416"/>
      <c r="CJ32" s="416"/>
      <c r="CK32" s="416"/>
      <c r="CL32" s="416"/>
      <c r="CM32" s="416"/>
      <c r="CN32" s="416"/>
      <c r="CO32" s="416"/>
      <c r="CP32" s="416"/>
      <c r="CQ32" s="416"/>
      <c r="CR32" s="416"/>
      <c r="CS32" s="416"/>
      <c r="CT32" s="416"/>
      <c r="CU32" s="416"/>
      <c r="CV32" s="416"/>
      <c r="CW32" s="416"/>
      <c r="CX32" s="416"/>
      <c r="CY32" s="416"/>
      <c r="CZ32" s="416"/>
      <c r="DA32" s="416"/>
      <c r="DB32" s="416"/>
      <c r="DC32" s="416"/>
      <c r="DD32" s="416"/>
      <c r="DE32" s="416"/>
      <c r="DF32" s="416"/>
      <c r="DG32" s="416"/>
      <c r="DH32" s="416"/>
      <c r="DI32" s="416"/>
      <c r="DJ32" s="416"/>
      <c r="DK32" s="416"/>
      <c r="DL32" s="416"/>
      <c r="DM32" s="416"/>
      <c r="DN32" s="416"/>
      <c r="DO32" s="416"/>
      <c r="DP32" s="416"/>
      <c r="DQ32" s="416"/>
      <c r="DR32" s="416"/>
      <c r="DS32" s="416"/>
      <c r="DT32" s="416"/>
      <c r="DU32" s="416"/>
      <c r="DV32" s="416"/>
      <c r="DW32" s="416"/>
      <c r="DX32" s="416"/>
      <c r="DY32" s="416"/>
      <c r="DZ32" s="416"/>
      <c r="EA32" s="416"/>
      <c r="EB32" s="416"/>
      <c r="EC32" s="416"/>
      <c r="ED32" s="416"/>
      <c r="EE32" s="416"/>
      <c r="EF32" s="416"/>
      <c r="EG32" s="416"/>
      <c r="EH32" s="416"/>
      <c r="EI32" s="416"/>
      <c r="EJ32" s="416"/>
      <c r="EK32" s="416"/>
      <c r="EL32" s="416"/>
      <c r="EM32" s="416"/>
      <c r="EN32" s="416"/>
      <c r="EO32" s="416"/>
      <c r="EP32" s="416"/>
      <c r="EQ32" s="416"/>
      <c r="ER32" s="416"/>
      <c r="ES32" s="416"/>
      <c r="ET32" s="416"/>
      <c r="EU32" s="416"/>
      <c r="EV32" s="416"/>
      <c r="EW32" s="416"/>
      <c r="EX32" s="416"/>
      <c r="EY32" s="416"/>
      <c r="EZ32" s="416"/>
      <c r="FA32" s="416"/>
      <c r="FB32" s="416"/>
      <c r="FC32" s="416"/>
      <c r="FD32" s="416"/>
      <c r="FE32" s="416"/>
      <c r="FF32" s="416"/>
      <c r="FG32" s="416"/>
      <c r="FH32" s="416"/>
      <c r="FI32" s="416"/>
      <c r="FJ32" s="416"/>
      <c r="FK32" s="416"/>
      <c r="FL32" s="416"/>
      <c r="FM32" s="416"/>
      <c r="FN32" s="416"/>
      <c r="FO32" s="416"/>
      <c r="FP32" s="416"/>
      <c r="FQ32" s="416"/>
      <c r="FR32" s="416"/>
      <c r="FS32" s="416"/>
      <c r="FT32" s="416"/>
      <c r="FU32" s="416"/>
      <c r="FV32" s="416"/>
      <c r="FW32" s="416"/>
      <c r="FX32" s="416"/>
      <c r="FY32" s="416"/>
      <c r="FZ32" s="416"/>
      <c r="GA32" s="416"/>
      <c r="GB32" s="416"/>
      <c r="GC32" s="416"/>
      <c r="GD32" s="416"/>
      <c r="GE32" s="416"/>
      <c r="GF32" s="416"/>
      <c r="GG32" s="416"/>
      <c r="GH32" s="416"/>
      <c r="GI32" s="416"/>
      <c r="GJ32" s="416"/>
      <c r="GK32" s="416"/>
      <c r="GL32" s="416"/>
      <c r="GM32" s="416"/>
      <c r="GN32" s="416"/>
      <c r="GO32" s="416"/>
      <c r="GP32" s="416"/>
      <c r="GQ32" s="416"/>
      <c r="GR32" s="416"/>
      <c r="GS32" s="416"/>
      <c r="GT32" s="416"/>
      <c r="GU32" s="416"/>
      <c r="GV32" s="416"/>
      <c r="GW32" s="416"/>
      <c r="GX32" s="416"/>
      <c r="GY32" s="416"/>
      <c r="GZ32" s="416"/>
      <c r="HA32" s="416"/>
      <c r="HB32" s="416"/>
      <c r="HC32" s="416"/>
      <c r="HD32" s="416"/>
      <c r="HE32" s="416"/>
      <c r="HF32" s="416"/>
      <c r="HG32" s="416"/>
      <c r="HH32" s="416"/>
      <c r="HI32" s="416"/>
      <c r="HJ32" s="416"/>
      <c r="HK32" s="416"/>
      <c r="HL32" s="416"/>
      <c r="HM32" s="416"/>
      <c r="HN32" s="416"/>
      <c r="HO32" s="416"/>
      <c r="HP32" s="416"/>
      <c r="HQ32" s="416"/>
      <c r="HR32" s="416"/>
    </row>
    <row r="33" spans="1:11" s="418" customFormat="1" ht="15" customHeight="1">
      <c r="A33" s="1772"/>
      <c r="B33" s="1774"/>
      <c r="C33" s="1804"/>
      <c r="D33" s="1806"/>
      <c r="E33" s="1352" t="s">
        <v>341</v>
      </c>
      <c r="F33" s="1353">
        <f>SUM(G33:J33)</f>
        <v>102000</v>
      </c>
      <c r="G33" s="1353"/>
      <c r="H33" s="1353"/>
      <c r="I33" s="1353">
        <v>102000</v>
      </c>
      <c r="J33" s="1354"/>
      <c r="K33" s="416"/>
    </row>
    <row r="34" spans="1:11" s="418" customFormat="1" ht="15" customHeight="1">
      <c r="A34" s="1772"/>
      <c r="B34" s="1774"/>
      <c r="C34" s="1804"/>
      <c r="D34" s="1806"/>
      <c r="E34" s="1352" t="s">
        <v>342</v>
      </c>
      <c r="F34" s="1353">
        <f>SUM(G34:J34)</f>
        <v>18000</v>
      </c>
      <c r="G34" s="1353">
        <v>18000</v>
      </c>
      <c r="H34" s="1353"/>
      <c r="I34" s="1353"/>
      <c r="J34" s="1354"/>
      <c r="K34" s="416"/>
    </row>
    <row r="35" spans="1:11" s="418" customFormat="1" ht="15" customHeight="1">
      <c r="A35" s="1772"/>
      <c r="B35" s="1774"/>
      <c r="C35" s="1804"/>
      <c r="D35" s="1806"/>
      <c r="E35" s="1352" t="s">
        <v>343</v>
      </c>
      <c r="F35" s="1353">
        <f t="shared" ref="F35:F40" si="4">SUM(G35:J35)</f>
        <v>1972000</v>
      </c>
      <c r="G35" s="1353"/>
      <c r="H35" s="1353"/>
      <c r="I35" s="1353">
        <v>1972000</v>
      </c>
      <c r="J35" s="1354"/>
      <c r="K35" s="416"/>
    </row>
    <row r="36" spans="1:11" s="418" customFormat="1" ht="15" customHeight="1">
      <c r="A36" s="1772"/>
      <c r="B36" s="1774"/>
      <c r="C36" s="1804"/>
      <c r="D36" s="1806"/>
      <c r="E36" s="1352" t="s">
        <v>344</v>
      </c>
      <c r="F36" s="1353">
        <f t="shared" si="4"/>
        <v>348000</v>
      </c>
      <c r="G36" s="1353">
        <v>348000</v>
      </c>
      <c r="H36" s="1353"/>
      <c r="I36" s="1353"/>
      <c r="J36" s="1354"/>
      <c r="K36" s="416"/>
    </row>
    <row r="37" spans="1:11" s="418" customFormat="1" ht="15" customHeight="1">
      <c r="A37" s="1772"/>
      <c r="B37" s="1774"/>
      <c r="C37" s="1804"/>
      <c r="D37" s="1806"/>
      <c r="E37" s="1352" t="s">
        <v>345</v>
      </c>
      <c r="F37" s="1353">
        <f t="shared" si="4"/>
        <v>8500</v>
      </c>
      <c r="G37" s="1353"/>
      <c r="H37" s="1353"/>
      <c r="I37" s="1353">
        <v>8500</v>
      </c>
      <c r="J37" s="1354"/>
      <c r="K37" s="416"/>
    </row>
    <row r="38" spans="1:11" s="418" customFormat="1" ht="15" customHeight="1">
      <c r="A38" s="1772"/>
      <c r="B38" s="1774"/>
      <c r="C38" s="1804"/>
      <c r="D38" s="1806"/>
      <c r="E38" s="1352" t="s">
        <v>346</v>
      </c>
      <c r="F38" s="1353">
        <f t="shared" si="4"/>
        <v>1500</v>
      </c>
      <c r="G38" s="1353">
        <v>1500</v>
      </c>
      <c r="H38" s="1353"/>
      <c r="I38" s="1353"/>
      <c r="J38" s="1354"/>
      <c r="K38" s="416"/>
    </row>
    <row r="39" spans="1:11" s="418" customFormat="1" ht="15" customHeight="1">
      <c r="A39" s="1772"/>
      <c r="B39" s="1774"/>
      <c r="C39" s="1804"/>
      <c r="D39" s="1806"/>
      <c r="E39" s="1352" t="s">
        <v>347</v>
      </c>
      <c r="F39" s="1353">
        <f t="shared" si="4"/>
        <v>42500</v>
      </c>
      <c r="G39" s="1353"/>
      <c r="H39" s="1353"/>
      <c r="I39" s="1353">
        <v>42500</v>
      </c>
      <c r="J39" s="1354"/>
      <c r="K39" s="416"/>
    </row>
    <row r="40" spans="1:11" s="418" customFormat="1" ht="15" customHeight="1">
      <c r="A40" s="1772"/>
      <c r="B40" s="1774"/>
      <c r="C40" s="1804"/>
      <c r="D40" s="1806"/>
      <c r="E40" s="1352" t="s">
        <v>348</v>
      </c>
      <c r="F40" s="1353">
        <f t="shared" si="4"/>
        <v>7500</v>
      </c>
      <c r="G40" s="1353">
        <v>7500</v>
      </c>
      <c r="H40" s="1353"/>
      <c r="I40" s="1353"/>
      <c r="J40" s="1354"/>
      <c r="K40" s="416"/>
    </row>
    <row r="41" spans="1:11" s="418" customFormat="1" ht="13.5" customHeight="1" thickBot="1">
      <c r="A41" s="1772"/>
      <c r="B41" s="1774"/>
      <c r="C41" s="1804"/>
      <c r="D41" s="1806"/>
      <c r="E41" s="1355" t="s">
        <v>324</v>
      </c>
      <c r="F41" s="1347">
        <f>SUM(F42:F43)</f>
        <v>0</v>
      </c>
      <c r="G41" s="1347">
        <f>SUM(G42:G43)</f>
        <v>0</v>
      </c>
      <c r="H41" s="1347">
        <f>SUM(H42:H43)</f>
        <v>0</v>
      </c>
      <c r="I41" s="1347">
        <f>SUM(I42:I43)</f>
        <v>0</v>
      </c>
      <c r="J41" s="1348">
        <f>SUM(J42:J43)</f>
        <v>0</v>
      </c>
      <c r="K41" s="416"/>
    </row>
    <row r="42" spans="1:11" s="418" customFormat="1" hidden="1" thickBot="1">
      <c r="A42" s="1772"/>
      <c r="B42" s="1774"/>
      <c r="C42" s="1804"/>
      <c r="D42" s="1806"/>
      <c r="E42" s="1352" t="s">
        <v>349</v>
      </c>
      <c r="F42" s="1353">
        <f>SUM(G42:J42)</f>
        <v>0</v>
      </c>
      <c r="G42" s="1353"/>
      <c r="H42" s="1353"/>
      <c r="I42" s="1353"/>
      <c r="J42" s="1354"/>
      <c r="K42" s="416"/>
    </row>
    <row r="43" spans="1:11" s="418" customFormat="1" hidden="1" thickBot="1">
      <c r="A43" s="1783"/>
      <c r="B43" s="1821"/>
      <c r="C43" s="1823"/>
      <c r="D43" s="1825"/>
      <c r="E43" s="1356">
        <v>6059</v>
      </c>
      <c r="F43" s="1357">
        <f>SUM(G43:J43)</f>
        <v>0</v>
      </c>
      <c r="G43" s="1357"/>
      <c r="H43" s="1357"/>
      <c r="I43" s="1357"/>
      <c r="J43" s="1373"/>
      <c r="K43" s="416"/>
    </row>
    <row r="44" spans="1:11" s="418" customFormat="1" ht="22.5">
      <c r="A44" s="1808" t="s">
        <v>350</v>
      </c>
      <c r="B44" s="1826" t="s">
        <v>351</v>
      </c>
      <c r="C44" s="1814">
        <v>750</v>
      </c>
      <c r="D44" s="1817" t="s">
        <v>333</v>
      </c>
      <c r="E44" s="1361" t="s">
        <v>322</v>
      </c>
      <c r="F44" s="1362">
        <f>SUM(F45,F55)</f>
        <v>360000</v>
      </c>
      <c r="G44" s="1362">
        <f>SUM(G45,G55)</f>
        <v>54000</v>
      </c>
      <c r="H44" s="1362">
        <f>SUM(H45,H55)</f>
        <v>0</v>
      </c>
      <c r="I44" s="1362">
        <f>SUM(I45,I55)</f>
        <v>306000</v>
      </c>
      <c r="J44" s="1363">
        <f>SUM(J45,J55)</f>
        <v>0</v>
      </c>
      <c r="K44" s="416"/>
    </row>
    <row r="45" spans="1:11" s="418" customFormat="1" ht="23.25" customHeight="1">
      <c r="A45" s="1809"/>
      <c r="B45" s="1827"/>
      <c r="C45" s="1815"/>
      <c r="D45" s="1818"/>
      <c r="E45" s="1346" t="s">
        <v>334</v>
      </c>
      <c r="F45" s="1347">
        <f>SUM(F46,F50)</f>
        <v>360000</v>
      </c>
      <c r="G45" s="1347">
        <f>SUM(G46,G50)</f>
        <v>54000</v>
      </c>
      <c r="H45" s="1347">
        <f>SUM(H46,H50)</f>
        <v>0</v>
      </c>
      <c r="I45" s="1347">
        <f>SUM(I46,I50)</f>
        <v>306000</v>
      </c>
      <c r="J45" s="1348">
        <f>SUM(J46,J50)</f>
        <v>0</v>
      </c>
      <c r="K45" s="416"/>
    </row>
    <row r="46" spans="1:11" s="418" customFormat="1" ht="24.95" hidden="1" customHeight="1">
      <c r="A46" s="1809"/>
      <c r="B46" s="1827"/>
      <c r="C46" s="1815"/>
      <c r="D46" s="1818"/>
      <c r="E46" s="1349" t="s">
        <v>335</v>
      </c>
      <c r="F46" s="1350">
        <f>SUM(F47:F49)</f>
        <v>0</v>
      </c>
      <c r="G46" s="1350">
        <f>SUM(G47:G49)</f>
        <v>0</v>
      </c>
      <c r="H46" s="1350">
        <f>SUM(H47:H49)</f>
        <v>0</v>
      </c>
      <c r="I46" s="1350">
        <f>SUM(I47:I49)</f>
        <v>0</v>
      </c>
      <c r="J46" s="1351">
        <f>SUM(J47:J49)</f>
        <v>0</v>
      </c>
      <c r="K46" s="416"/>
    </row>
    <row r="47" spans="1:11" s="418" customFormat="1" ht="15" hidden="1" customHeight="1">
      <c r="A47" s="1809"/>
      <c r="B47" s="1827"/>
      <c r="C47" s="1815"/>
      <c r="D47" s="1818"/>
      <c r="E47" s="1352"/>
      <c r="F47" s="1353">
        <f>SUM(G47:J47)</f>
        <v>0</v>
      </c>
      <c r="G47" s="1353"/>
      <c r="H47" s="1353"/>
      <c r="I47" s="1353"/>
      <c r="J47" s="1354"/>
      <c r="K47" s="416"/>
    </row>
    <row r="48" spans="1:11" s="418" customFormat="1" ht="15" hidden="1" customHeight="1">
      <c r="A48" s="1809"/>
      <c r="B48" s="1827"/>
      <c r="C48" s="1815"/>
      <c r="D48" s="1818"/>
      <c r="E48" s="1352"/>
      <c r="F48" s="1353">
        <f>SUM(G48:J48)</f>
        <v>0</v>
      </c>
      <c r="G48" s="1353"/>
      <c r="H48" s="1353"/>
      <c r="I48" s="1353"/>
      <c r="J48" s="1354"/>
      <c r="K48" s="416"/>
    </row>
    <row r="49" spans="1:226" s="418" customFormat="1" ht="15" hidden="1" customHeight="1">
      <c r="A49" s="1809"/>
      <c r="B49" s="1827"/>
      <c r="C49" s="1815"/>
      <c r="D49" s="1818"/>
      <c r="E49" s="1352"/>
      <c r="F49" s="1353">
        <f>SUM(G49:J49)</f>
        <v>0</v>
      </c>
      <c r="G49" s="1353"/>
      <c r="H49" s="1353"/>
      <c r="I49" s="1353"/>
      <c r="J49" s="1354"/>
      <c r="K49" s="416"/>
    </row>
    <row r="50" spans="1:226" s="418" customFormat="1" ht="22.5">
      <c r="A50" s="1809"/>
      <c r="B50" s="1827"/>
      <c r="C50" s="1815"/>
      <c r="D50" s="1818"/>
      <c r="E50" s="1349" t="s">
        <v>340</v>
      </c>
      <c r="F50" s="1350">
        <f>SUM(F51:F54)</f>
        <v>360000</v>
      </c>
      <c r="G50" s="1350">
        <f>SUM(G51:G54)</f>
        <v>54000</v>
      </c>
      <c r="H50" s="1350">
        <f>SUM(H51:H54)</f>
        <v>0</v>
      </c>
      <c r="I50" s="1350">
        <f>SUM(I51:I54)</f>
        <v>306000</v>
      </c>
      <c r="J50" s="1351">
        <f>SUM(J51:J54)</f>
        <v>0</v>
      </c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416"/>
      <c r="AG50" s="416"/>
      <c r="AH50" s="416"/>
      <c r="AI50" s="416"/>
      <c r="AJ50" s="416"/>
      <c r="AK50" s="416"/>
      <c r="AL50" s="416"/>
      <c r="AM50" s="416"/>
      <c r="AN50" s="416"/>
      <c r="AO50" s="416"/>
      <c r="AP50" s="416"/>
      <c r="AQ50" s="416"/>
      <c r="AR50" s="416"/>
      <c r="AS50" s="416"/>
      <c r="AT50" s="416"/>
      <c r="AU50" s="416"/>
      <c r="AV50" s="416"/>
      <c r="AW50" s="416"/>
      <c r="AX50" s="416"/>
      <c r="AY50" s="416"/>
      <c r="AZ50" s="416"/>
      <c r="BA50" s="416"/>
      <c r="BB50" s="416"/>
      <c r="BC50" s="416"/>
      <c r="BD50" s="416"/>
      <c r="BE50" s="416"/>
      <c r="BF50" s="416"/>
      <c r="BG50" s="416"/>
      <c r="BH50" s="416"/>
      <c r="BI50" s="416"/>
      <c r="BJ50" s="416"/>
      <c r="BK50" s="416"/>
      <c r="BL50" s="416"/>
      <c r="BM50" s="416"/>
      <c r="BN50" s="416"/>
      <c r="BO50" s="416"/>
      <c r="BP50" s="416"/>
      <c r="BQ50" s="416"/>
      <c r="BR50" s="416"/>
      <c r="BS50" s="416"/>
      <c r="BT50" s="416"/>
      <c r="BU50" s="416"/>
      <c r="BV50" s="416"/>
      <c r="BW50" s="416"/>
      <c r="BX50" s="416"/>
      <c r="BY50" s="416"/>
      <c r="BZ50" s="416"/>
      <c r="CA50" s="416"/>
      <c r="CB50" s="416"/>
      <c r="CC50" s="416"/>
      <c r="CD50" s="416"/>
      <c r="CE50" s="416"/>
      <c r="CF50" s="416"/>
      <c r="CG50" s="416"/>
      <c r="CH50" s="416"/>
      <c r="CI50" s="416"/>
      <c r="CJ50" s="416"/>
      <c r="CK50" s="416"/>
      <c r="CL50" s="416"/>
      <c r="CM50" s="416"/>
      <c r="CN50" s="416"/>
      <c r="CO50" s="416"/>
      <c r="CP50" s="416"/>
      <c r="CQ50" s="416"/>
      <c r="CR50" s="416"/>
      <c r="CS50" s="416"/>
      <c r="CT50" s="416"/>
      <c r="CU50" s="416"/>
      <c r="CV50" s="416"/>
      <c r="CW50" s="416"/>
      <c r="CX50" s="416"/>
      <c r="CY50" s="416"/>
      <c r="CZ50" s="416"/>
      <c r="DA50" s="416"/>
      <c r="DB50" s="416"/>
      <c r="DC50" s="416"/>
      <c r="DD50" s="416"/>
      <c r="DE50" s="416"/>
      <c r="DF50" s="416"/>
      <c r="DG50" s="416"/>
      <c r="DH50" s="416"/>
      <c r="DI50" s="416"/>
      <c r="DJ50" s="416"/>
      <c r="DK50" s="416"/>
      <c r="DL50" s="416"/>
      <c r="DM50" s="416"/>
      <c r="DN50" s="416"/>
      <c r="DO50" s="416"/>
      <c r="DP50" s="416"/>
      <c r="DQ50" s="416"/>
      <c r="DR50" s="416"/>
      <c r="DS50" s="416"/>
      <c r="DT50" s="416"/>
      <c r="DU50" s="416"/>
      <c r="DV50" s="416"/>
      <c r="DW50" s="416"/>
      <c r="DX50" s="416"/>
      <c r="DY50" s="416"/>
      <c r="DZ50" s="416"/>
      <c r="EA50" s="416"/>
      <c r="EB50" s="416"/>
      <c r="EC50" s="416"/>
      <c r="ED50" s="416"/>
      <c r="EE50" s="416"/>
      <c r="EF50" s="416"/>
      <c r="EG50" s="416"/>
      <c r="EH50" s="416"/>
      <c r="EI50" s="416"/>
      <c r="EJ50" s="416"/>
      <c r="EK50" s="416"/>
      <c r="EL50" s="416"/>
      <c r="EM50" s="416"/>
      <c r="EN50" s="416"/>
      <c r="EO50" s="416"/>
      <c r="EP50" s="416"/>
      <c r="EQ50" s="416"/>
      <c r="ER50" s="416"/>
      <c r="ES50" s="416"/>
      <c r="ET50" s="416"/>
      <c r="EU50" s="416"/>
      <c r="EV50" s="416"/>
      <c r="EW50" s="416"/>
      <c r="EX50" s="416"/>
      <c r="EY50" s="416"/>
      <c r="EZ50" s="416"/>
      <c r="FA50" s="416"/>
      <c r="FB50" s="416"/>
      <c r="FC50" s="416"/>
      <c r="FD50" s="416"/>
      <c r="FE50" s="416"/>
      <c r="FF50" s="416"/>
      <c r="FG50" s="416"/>
      <c r="FH50" s="416"/>
      <c r="FI50" s="416"/>
      <c r="FJ50" s="416"/>
      <c r="FK50" s="416"/>
      <c r="FL50" s="416"/>
      <c r="FM50" s="416"/>
      <c r="FN50" s="416"/>
      <c r="FO50" s="416"/>
      <c r="FP50" s="416"/>
      <c r="FQ50" s="416"/>
      <c r="FR50" s="416"/>
      <c r="FS50" s="416"/>
      <c r="FT50" s="416"/>
      <c r="FU50" s="416"/>
      <c r="FV50" s="416"/>
      <c r="FW50" s="416"/>
      <c r="FX50" s="416"/>
      <c r="FY50" s="416"/>
      <c r="FZ50" s="416"/>
      <c r="GA50" s="416"/>
      <c r="GB50" s="416"/>
      <c r="GC50" s="416"/>
      <c r="GD50" s="416"/>
      <c r="GE50" s="416"/>
      <c r="GF50" s="416"/>
      <c r="GG50" s="416"/>
      <c r="GH50" s="416"/>
      <c r="GI50" s="416"/>
      <c r="GJ50" s="416"/>
      <c r="GK50" s="416"/>
      <c r="GL50" s="416"/>
      <c r="GM50" s="416"/>
      <c r="GN50" s="416"/>
      <c r="GO50" s="416"/>
      <c r="GP50" s="416"/>
      <c r="GQ50" s="416"/>
      <c r="GR50" s="416"/>
      <c r="GS50" s="416"/>
      <c r="GT50" s="416"/>
      <c r="GU50" s="416"/>
      <c r="GV50" s="416"/>
      <c r="GW50" s="416"/>
      <c r="GX50" s="416"/>
      <c r="GY50" s="416"/>
      <c r="GZ50" s="416"/>
      <c r="HA50" s="416"/>
      <c r="HB50" s="416"/>
      <c r="HC50" s="416"/>
      <c r="HD50" s="416"/>
      <c r="HE50" s="416"/>
      <c r="HF50" s="416"/>
      <c r="HG50" s="416"/>
      <c r="HH50" s="416"/>
      <c r="HI50" s="416"/>
      <c r="HJ50" s="416"/>
      <c r="HK50" s="416"/>
      <c r="HL50" s="416"/>
      <c r="HM50" s="416"/>
      <c r="HN50" s="416"/>
      <c r="HO50" s="416"/>
      <c r="HP50" s="416"/>
      <c r="HQ50" s="416"/>
      <c r="HR50" s="416"/>
    </row>
    <row r="51" spans="1:226" s="418" customFormat="1" ht="15" customHeight="1">
      <c r="A51" s="1809"/>
      <c r="B51" s="1827"/>
      <c r="C51" s="1815"/>
      <c r="D51" s="1818"/>
      <c r="E51" s="1352" t="s">
        <v>343</v>
      </c>
      <c r="F51" s="1353">
        <f>SUM(G51:J51)</f>
        <v>34000</v>
      </c>
      <c r="G51" s="1353"/>
      <c r="H51" s="1353"/>
      <c r="I51" s="1353">
        <v>34000</v>
      </c>
      <c r="J51" s="1354"/>
      <c r="K51" s="416"/>
    </row>
    <row r="52" spans="1:226" s="418" customFormat="1" ht="15" customHeight="1">
      <c r="A52" s="1809"/>
      <c r="B52" s="1827"/>
      <c r="C52" s="1815"/>
      <c r="D52" s="1818"/>
      <c r="E52" s="1352" t="s">
        <v>344</v>
      </c>
      <c r="F52" s="1353">
        <f>SUM(G52:J52)</f>
        <v>6000</v>
      </c>
      <c r="G52" s="1353">
        <v>6000</v>
      </c>
      <c r="H52" s="1353"/>
      <c r="I52" s="1353"/>
      <c r="J52" s="1354"/>
      <c r="K52" s="416"/>
    </row>
    <row r="53" spans="1:226" s="418" customFormat="1" ht="15" customHeight="1">
      <c r="A53" s="1809"/>
      <c r="B53" s="1827"/>
      <c r="C53" s="1815"/>
      <c r="D53" s="1818"/>
      <c r="E53" s="1352" t="s">
        <v>352</v>
      </c>
      <c r="F53" s="1353">
        <f>SUM(G53:J53)</f>
        <v>272000</v>
      </c>
      <c r="G53" s="1353"/>
      <c r="H53" s="1353"/>
      <c r="I53" s="1353">
        <v>272000</v>
      </c>
      <c r="J53" s="1354"/>
      <c r="K53" s="416"/>
    </row>
    <row r="54" spans="1:226" s="418" customFormat="1" ht="15" customHeight="1">
      <c r="A54" s="1809"/>
      <c r="B54" s="1827"/>
      <c r="C54" s="1815"/>
      <c r="D54" s="1818"/>
      <c r="E54" s="1352" t="s">
        <v>353</v>
      </c>
      <c r="F54" s="1353">
        <f>SUM(G54:J54)</f>
        <v>48000</v>
      </c>
      <c r="G54" s="1353">
        <v>48000</v>
      </c>
      <c r="H54" s="1353"/>
      <c r="I54" s="1353"/>
      <c r="J54" s="1354"/>
      <c r="K54" s="416"/>
    </row>
    <row r="55" spans="1:226" s="418" customFormat="1" thickBot="1">
      <c r="A55" s="1810"/>
      <c r="B55" s="1828"/>
      <c r="C55" s="1816"/>
      <c r="D55" s="1819"/>
      <c r="E55" s="1364" t="s">
        <v>324</v>
      </c>
      <c r="F55" s="1365">
        <f>SUM(F56:F56)</f>
        <v>0</v>
      </c>
      <c r="G55" s="1365">
        <f>SUM(G56:G56)</f>
        <v>0</v>
      </c>
      <c r="H55" s="1365">
        <f>SUM(H56:H56)</f>
        <v>0</v>
      </c>
      <c r="I55" s="1365">
        <f>SUM(I56:I56)</f>
        <v>0</v>
      </c>
      <c r="J55" s="1366">
        <f>SUM(J56:J56)</f>
        <v>0</v>
      </c>
      <c r="K55" s="416"/>
    </row>
    <row r="56" spans="1:226" s="418" customFormat="1" ht="15" hidden="1" customHeight="1">
      <c r="A56" s="420"/>
      <c r="B56" s="421"/>
      <c r="C56" s="422"/>
      <c r="D56" s="423"/>
      <c r="E56" s="424"/>
      <c r="F56" s="425">
        <f>SUM(G56:J56)</f>
        <v>0</v>
      </c>
      <c r="G56" s="425"/>
      <c r="H56" s="425"/>
      <c r="I56" s="425"/>
      <c r="J56" s="1403"/>
      <c r="K56" s="416"/>
    </row>
    <row r="57" spans="1:226" s="418" customFormat="1" ht="24.95" customHeight="1">
      <c r="A57" s="1772" t="s">
        <v>354</v>
      </c>
      <c r="B57" s="1774" t="s">
        <v>355</v>
      </c>
      <c r="C57" s="1804">
        <v>750</v>
      </c>
      <c r="D57" s="1806" t="s">
        <v>333</v>
      </c>
      <c r="E57" s="1343" t="s">
        <v>322</v>
      </c>
      <c r="F57" s="1344">
        <f>SUM(F58,F72)</f>
        <v>130000</v>
      </c>
      <c r="G57" s="1344">
        <f>SUM(G58,G72)</f>
        <v>19500</v>
      </c>
      <c r="H57" s="1344">
        <f>SUM(H58,H72)</f>
        <v>0</v>
      </c>
      <c r="I57" s="1344">
        <f>SUM(I58,I72)</f>
        <v>110500</v>
      </c>
      <c r="J57" s="1345">
        <f>SUM(J58,J72)</f>
        <v>0</v>
      </c>
      <c r="K57" s="416"/>
    </row>
    <row r="58" spans="1:226" s="418" customFormat="1" ht="24.95" customHeight="1">
      <c r="A58" s="1772"/>
      <c r="B58" s="1774"/>
      <c r="C58" s="1804"/>
      <c r="D58" s="1806"/>
      <c r="E58" s="1346" t="s">
        <v>334</v>
      </c>
      <c r="F58" s="1347">
        <f>SUM(F59,F63)</f>
        <v>130000</v>
      </c>
      <c r="G58" s="1347">
        <f>SUM(G59,G63)</f>
        <v>19500</v>
      </c>
      <c r="H58" s="1347">
        <f>SUM(H59,H63)</f>
        <v>0</v>
      </c>
      <c r="I58" s="1347">
        <f>SUM(I59,I63)</f>
        <v>110500</v>
      </c>
      <c r="J58" s="1348">
        <f>SUM(J59,J63)</f>
        <v>0</v>
      </c>
      <c r="K58" s="416"/>
    </row>
    <row r="59" spans="1:226" s="418" customFormat="1" ht="24.95" hidden="1" customHeight="1">
      <c r="A59" s="1772"/>
      <c r="B59" s="1774"/>
      <c r="C59" s="1804"/>
      <c r="D59" s="1806"/>
      <c r="E59" s="1349" t="s">
        <v>335</v>
      </c>
      <c r="F59" s="1350">
        <f>SUM(F60:F62)</f>
        <v>0</v>
      </c>
      <c r="G59" s="1350">
        <f>SUM(G60:G62)</f>
        <v>0</v>
      </c>
      <c r="H59" s="1350">
        <f>SUM(H60:H62)</f>
        <v>0</v>
      </c>
      <c r="I59" s="1350">
        <f>SUM(I60:I62)</f>
        <v>0</v>
      </c>
      <c r="J59" s="1351">
        <f>SUM(J60:J62)</f>
        <v>0</v>
      </c>
      <c r="K59" s="416"/>
    </row>
    <row r="60" spans="1:226" s="418" customFormat="1" ht="15" hidden="1" customHeight="1">
      <c r="A60" s="1772"/>
      <c r="B60" s="1774"/>
      <c r="C60" s="1804"/>
      <c r="D60" s="1806"/>
      <c r="E60" s="1352"/>
      <c r="F60" s="1353">
        <f>SUM(G60:J60)</f>
        <v>0</v>
      </c>
      <c r="G60" s="1353"/>
      <c r="H60" s="1353"/>
      <c r="I60" s="1353"/>
      <c r="J60" s="1354"/>
      <c r="K60" s="416"/>
    </row>
    <row r="61" spans="1:226" s="418" customFormat="1" ht="15" hidden="1" customHeight="1">
      <c r="A61" s="1772"/>
      <c r="B61" s="1774"/>
      <c r="C61" s="1804"/>
      <c r="D61" s="1806"/>
      <c r="E61" s="1352"/>
      <c r="F61" s="1353">
        <f>SUM(G61:J61)</f>
        <v>0</v>
      </c>
      <c r="G61" s="1353"/>
      <c r="H61" s="1353"/>
      <c r="I61" s="1353"/>
      <c r="J61" s="1354"/>
      <c r="K61" s="416"/>
    </row>
    <row r="62" spans="1:226" s="418" customFormat="1" ht="15" hidden="1" customHeight="1">
      <c r="A62" s="1772"/>
      <c r="B62" s="1774"/>
      <c r="C62" s="1804"/>
      <c r="D62" s="1806"/>
      <c r="E62" s="1352"/>
      <c r="F62" s="1353">
        <f>SUM(G62:J62)</f>
        <v>0</v>
      </c>
      <c r="G62" s="1353"/>
      <c r="H62" s="1353"/>
      <c r="I62" s="1353"/>
      <c r="J62" s="1354"/>
      <c r="K62" s="416"/>
    </row>
    <row r="63" spans="1:226" s="418" customFormat="1" ht="24.95" customHeight="1">
      <c r="A63" s="1772"/>
      <c r="B63" s="1774"/>
      <c r="C63" s="1804"/>
      <c r="D63" s="1806"/>
      <c r="E63" s="1349" t="s">
        <v>340</v>
      </c>
      <c r="F63" s="1350">
        <f>SUM(F64:F71)</f>
        <v>130000</v>
      </c>
      <c r="G63" s="1350">
        <f>SUM(G64:G71)</f>
        <v>19500</v>
      </c>
      <c r="H63" s="1350">
        <f>SUM(H64:H71)</f>
        <v>0</v>
      </c>
      <c r="I63" s="1350">
        <f>SUM(I64:I71)</f>
        <v>110500</v>
      </c>
      <c r="J63" s="1351">
        <f>SUM(J64:J71)</f>
        <v>0</v>
      </c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6"/>
      <c r="X63" s="416"/>
      <c r="Y63" s="416"/>
      <c r="Z63" s="416"/>
      <c r="AA63" s="416"/>
      <c r="AB63" s="416"/>
      <c r="AC63" s="416"/>
      <c r="AD63" s="416"/>
      <c r="AE63" s="416"/>
      <c r="AF63" s="416"/>
      <c r="AG63" s="416"/>
      <c r="AH63" s="416"/>
      <c r="AI63" s="416"/>
      <c r="AJ63" s="416"/>
      <c r="AK63" s="416"/>
      <c r="AL63" s="416"/>
      <c r="AM63" s="416"/>
      <c r="AN63" s="416"/>
      <c r="AO63" s="416"/>
      <c r="AP63" s="416"/>
      <c r="AQ63" s="416"/>
      <c r="AR63" s="416"/>
      <c r="AS63" s="416"/>
      <c r="AT63" s="416"/>
      <c r="AU63" s="416"/>
      <c r="AV63" s="416"/>
      <c r="AW63" s="416"/>
      <c r="AX63" s="416"/>
      <c r="AY63" s="416"/>
      <c r="AZ63" s="416"/>
      <c r="BA63" s="416"/>
      <c r="BB63" s="416"/>
      <c r="BC63" s="416"/>
      <c r="BD63" s="416"/>
      <c r="BE63" s="416"/>
      <c r="BF63" s="416"/>
      <c r="BG63" s="416"/>
      <c r="BH63" s="416"/>
      <c r="BI63" s="416"/>
      <c r="BJ63" s="416"/>
      <c r="BK63" s="416"/>
      <c r="BL63" s="416"/>
      <c r="BM63" s="416"/>
      <c r="BN63" s="416"/>
      <c r="BO63" s="416"/>
      <c r="BP63" s="416"/>
      <c r="BQ63" s="416"/>
      <c r="BR63" s="416"/>
      <c r="BS63" s="416"/>
      <c r="BT63" s="416"/>
      <c r="BU63" s="416"/>
      <c r="BV63" s="416"/>
      <c r="BW63" s="416"/>
      <c r="BX63" s="416"/>
      <c r="BY63" s="416"/>
      <c r="BZ63" s="416"/>
      <c r="CA63" s="416"/>
      <c r="CB63" s="416"/>
      <c r="CC63" s="416"/>
      <c r="CD63" s="416"/>
      <c r="CE63" s="416"/>
      <c r="CF63" s="416"/>
      <c r="CG63" s="416"/>
      <c r="CH63" s="416"/>
      <c r="CI63" s="416"/>
      <c r="CJ63" s="416"/>
      <c r="CK63" s="416"/>
      <c r="CL63" s="416"/>
      <c r="CM63" s="416"/>
      <c r="CN63" s="416"/>
      <c r="CO63" s="416"/>
      <c r="CP63" s="416"/>
      <c r="CQ63" s="416"/>
      <c r="CR63" s="416"/>
      <c r="CS63" s="416"/>
      <c r="CT63" s="416"/>
      <c r="CU63" s="416"/>
      <c r="CV63" s="416"/>
      <c r="CW63" s="416"/>
      <c r="CX63" s="416"/>
      <c r="CY63" s="416"/>
      <c r="CZ63" s="416"/>
      <c r="DA63" s="416"/>
      <c r="DB63" s="416"/>
      <c r="DC63" s="416"/>
      <c r="DD63" s="416"/>
      <c r="DE63" s="416"/>
      <c r="DF63" s="416"/>
      <c r="DG63" s="416"/>
      <c r="DH63" s="416"/>
      <c r="DI63" s="416"/>
      <c r="DJ63" s="416"/>
      <c r="DK63" s="416"/>
      <c r="DL63" s="416"/>
      <c r="DM63" s="416"/>
      <c r="DN63" s="416"/>
      <c r="DO63" s="416"/>
      <c r="DP63" s="416"/>
      <c r="DQ63" s="416"/>
      <c r="DR63" s="416"/>
      <c r="DS63" s="416"/>
      <c r="DT63" s="416"/>
      <c r="DU63" s="416"/>
      <c r="DV63" s="416"/>
      <c r="DW63" s="416"/>
      <c r="DX63" s="416"/>
      <c r="DY63" s="416"/>
      <c r="DZ63" s="416"/>
      <c r="EA63" s="416"/>
      <c r="EB63" s="416"/>
      <c r="EC63" s="416"/>
      <c r="ED63" s="416"/>
      <c r="EE63" s="416"/>
      <c r="EF63" s="416"/>
      <c r="EG63" s="416"/>
      <c r="EH63" s="416"/>
      <c r="EI63" s="416"/>
      <c r="EJ63" s="416"/>
      <c r="EK63" s="416"/>
      <c r="EL63" s="416"/>
      <c r="EM63" s="416"/>
      <c r="EN63" s="416"/>
      <c r="EO63" s="416"/>
      <c r="EP63" s="416"/>
      <c r="EQ63" s="416"/>
      <c r="ER63" s="416"/>
      <c r="ES63" s="416"/>
      <c r="ET63" s="416"/>
      <c r="EU63" s="416"/>
      <c r="EV63" s="416"/>
      <c r="EW63" s="416"/>
      <c r="EX63" s="416"/>
      <c r="EY63" s="416"/>
      <c r="EZ63" s="416"/>
      <c r="FA63" s="416"/>
      <c r="FB63" s="416"/>
      <c r="FC63" s="416"/>
      <c r="FD63" s="416"/>
      <c r="FE63" s="416"/>
      <c r="FF63" s="416"/>
      <c r="FG63" s="416"/>
      <c r="FH63" s="416"/>
      <c r="FI63" s="416"/>
      <c r="FJ63" s="416"/>
      <c r="FK63" s="416"/>
      <c r="FL63" s="416"/>
      <c r="FM63" s="416"/>
      <c r="FN63" s="416"/>
      <c r="FO63" s="416"/>
      <c r="FP63" s="416"/>
      <c r="FQ63" s="416"/>
      <c r="FR63" s="416"/>
      <c r="FS63" s="416"/>
      <c r="FT63" s="416"/>
      <c r="FU63" s="416"/>
      <c r="FV63" s="416"/>
      <c r="FW63" s="416"/>
      <c r="FX63" s="416"/>
      <c r="FY63" s="416"/>
      <c r="FZ63" s="416"/>
      <c r="GA63" s="416"/>
      <c r="GB63" s="416"/>
      <c r="GC63" s="416"/>
      <c r="GD63" s="416"/>
      <c r="GE63" s="416"/>
      <c r="GF63" s="416"/>
      <c r="GG63" s="416"/>
      <c r="GH63" s="416"/>
      <c r="GI63" s="416"/>
      <c r="GJ63" s="416"/>
      <c r="GK63" s="416"/>
      <c r="GL63" s="416"/>
      <c r="GM63" s="416"/>
      <c r="GN63" s="416"/>
      <c r="GO63" s="416"/>
      <c r="GP63" s="416"/>
      <c r="GQ63" s="416"/>
      <c r="GR63" s="416"/>
      <c r="GS63" s="416"/>
      <c r="GT63" s="416"/>
      <c r="GU63" s="416"/>
      <c r="GV63" s="416"/>
      <c r="GW63" s="416"/>
      <c r="GX63" s="416"/>
      <c r="GY63" s="416"/>
      <c r="GZ63" s="416"/>
      <c r="HA63" s="416"/>
      <c r="HB63" s="416"/>
      <c r="HC63" s="416"/>
      <c r="HD63" s="416"/>
      <c r="HE63" s="416"/>
      <c r="HF63" s="416"/>
      <c r="HG63" s="416"/>
      <c r="HH63" s="416"/>
      <c r="HI63" s="416"/>
      <c r="HJ63" s="416"/>
      <c r="HK63" s="416"/>
      <c r="HL63" s="416"/>
      <c r="HM63" s="416"/>
      <c r="HN63" s="416"/>
      <c r="HO63" s="416"/>
      <c r="HP63" s="416"/>
      <c r="HQ63" s="416"/>
      <c r="HR63" s="416"/>
    </row>
    <row r="64" spans="1:226" s="418" customFormat="1" ht="15" customHeight="1">
      <c r="A64" s="1772"/>
      <c r="B64" s="1774"/>
      <c r="C64" s="1804"/>
      <c r="D64" s="1806"/>
      <c r="E64" s="1352" t="s">
        <v>356</v>
      </c>
      <c r="F64" s="1353">
        <f>SUM(G64:J64)</f>
        <v>46750</v>
      </c>
      <c r="G64" s="1353"/>
      <c r="H64" s="1353"/>
      <c r="I64" s="1353">
        <v>46750</v>
      </c>
      <c r="J64" s="1354"/>
      <c r="K64" s="416"/>
    </row>
    <row r="65" spans="1:11" s="418" customFormat="1" ht="15" customHeight="1">
      <c r="A65" s="1772"/>
      <c r="B65" s="1774"/>
      <c r="C65" s="1804"/>
      <c r="D65" s="1806"/>
      <c r="E65" s="1352" t="s">
        <v>357</v>
      </c>
      <c r="F65" s="1353">
        <f t="shared" ref="F65:F69" si="5">SUM(G65:J65)</f>
        <v>8250</v>
      </c>
      <c r="G65" s="1353">
        <v>8250</v>
      </c>
      <c r="H65" s="1353"/>
      <c r="I65" s="1353"/>
      <c r="J65" s="1354"/>
      <c r="K65" s="416"/>
    </row>
    <row r="66" spans="1:11" s="418" customFormat="1" ht="15" customHeight="1">
      <c r="A66" s="1772"/>
      <c r="B66" s="1774"/>
      <c r="C66" s="1804"/>
      <c r="D66" s="1806"/>
      <c r="E66" s="1352" t="s">
        <v>343</v>
      </c>
      <c r="F66" s="1353">
        <f t="shared" si="5"/>
        <v>12750</v>
      </c>
      <c r="G66" s="1353"/>
      <c r="H66" s="1353"/>
      <c r="I66" s="1353">
        <v>12750</v>
      </c>
      <c r="J66" s="1354"/>
      <c r="K66" s="416"/>
    </row>
    <row r="67" spans="1:11" s="418" customFormat="1" ht="15" customHeight="1">
      <c r="A67" s="1772"/>
      <c r="B67" s="1774"/>
      <c r="C67" s="1804"/>
      <c r="D67" s="1806"/>
      <c r="E67" s="1352" t="s">
        <v>344</v>
      </c>
      <c r="F67" s="1353">
        <f t="shared" si="5"/>
        <v>2250</v>
      </c>
      <c r="G67" s="1353">
        <v>2250</v>
      </c>
      <c r="H67" s="1353"/>
      <c r="I67" s="1353"/>
      <c r="J67" s="1354"/>
      <c r="K67" s="416"/>
    </row>
    <row r="68" spans="1:11" s="418" customFormat="1" ht="15" customHeight="1">
      <c r="A68" s="1772"/>
      <c r="B68" s="1774"/>
      <c r="C68" s="1804"/>
      <c r="D68" s="1806"/>
      <c r="E68" s="1352" t="s">
        <v>358</v>
      </c>
      <c r="F68" s="1353">
        <f t="shared" si="5"/>
        <v>8500</v>
      </c>
      <c r="G68" s="1353"/>
      <c r="H68" s="1353"/>
      <c r="I68" s="1353">
        <v>8500</v>
      </c>
      <c r="J68" s="1354"/>
      <c r="K68" s="416"/>
    </row>
    <row r="69" spans="1:11" s="418" customFormat="1" ht="15" customHeight="1">
      <c r="A69" s="1772"/>
      <c r="B69" s="1774"/>
      <c r="C69" s="1804"/>
      <c r="D69" s="1806"/>
      <c r="E69" s="1352" t="s">
        <v>359</v>
      </c>
      <c r="F69" s="1353">
        <f t="shared" si="5"/>
        <v>1500</v>
      </c>
      <c r="G69" s="1353">
        <v>1500</v>
      </c>
      <c r="H69" s="1353"/>
      <c r="I69" s="1353"/>
      <c r="J69" s="1354"/>
      <c r="K69" s="416"/>
    </row>
    <row r="70" spans="1:11" s="418" customFormat="1" ht="15" customHeight="1">
      <c r="A70" s="1772"/>
      <c r="B70" s="1774"/>
      <c r="C70" s="1804"/>
      <c r="D70" s="1806"/>
      <c r="E70" s="1352" t="s">
        <v>352</v>
      </c>
      <c r="F70" s="1353">
        <f>SUM(G70:J70)</f>
        <v>42500</v>
      </c>
      <c r="G70" s="1353"/>
      <c r="H70" s="1353"/>
      <c r="I70" s="1353">
        <v>42500</v>
      </c>
      <c r="J70" s="1354"/>
      <c r="K70" s="416"/>
    </row>
    <row r="71" spans="1:11" s="418" customFormat="1" ht="15" customHeight="1">
      <c r="A71" s="1772"/>
      <c r="B71" s="1774"/>
      <c r="C71" s="1804"/>
      <c r="D71" s="1806"/>
      <c r="E71" s="1352" t="s">
        <v>353</v>
      </c>
      <c r="F71" s="1353">
        <f>SUM(G71:J71)</f>
        <v>7500</v>
      </c>
      <c r="G71" s="1353">
        <v>7500</v>
      </c>
      <c r="H71" s="1353"/>
      <c r="I71" s="1353"/>
      <c r="J71" s="1354"/>
      <c r="K71" s="416"/>
    </row>
    <row r="72" spans="1:11" s="418" customFormat="1" ht="18.75" customHeight="1" thickBot="1">
      <c r="A72" s="1772"/>
      <c r="B72" s="1774"/>
      <c r="C72" s="1804"/>
      <c r="D72" s="1806"/>
      <c r="E72" s="1355" t="s">
        <v>324</v>
      </c>
      <c r="F72" s="1347">
        <f>SUM(F73:F74)</f>
        <v>0</v>
      </c>
      <c r="G72" s="1347">
        <f>SUM(G73:G74)</f>
        <v>0</v>
      </c>
      <c r="H72" s="1347">
        <f>SUM(H73:H74)</f>
        <v>0</v>
      </c>
      <c r="I72" s="1347">
        <f>SUM(I73:I74)</f>
        <v>0</v>
      </c>
      <c r="J72" s="1348">
        <f>SUM(J73:J74)</f>
        <v>0</v>
      </c>
      <c r="K72" s="416"/>
    </row>
    <row r="73" spans="1:11" s="418" customFormat="1" ht="15" hidden="1" customHeight="1">
      <c r="A73" s="1772"/>
      <c r="B73" s="1774"/>
      <c r="C73" s="1804"/>
      <c r="D73" s="1806"/>
      <c r="E73" s="1352"/>
      <c r="F73" s="1353">
        <f>SUM(G73:J73)</f>
        <v>0</v>
      </c>
      <c r="G73" s="1353"/>
      <c r="H73" s="1353"/>
      <c r="I73" s="1353"/>
      <c r="J73" s="1354"/>
      <c r="K73" s="416"/>
    </row>
    <row r="74" spans="1:11" s="418" customFormat="1" ht="15" hidden="1" customHeight="1">
      <c r="A74" s="1773"/>
      <c r="B74" s="1775"/>
      <c r="C74" s="1805"/>
      <c r="D74" s="1807"/>
      <c r="E74" s="1358"/>
      <c r="F74" s="1359">
        <f>SUM(G74:J74)</f>
        <v>0</v>
      </c>
      <c r="G74" s="1359"/>
      <c r="H74" s="1359"/>
      <c r="I74" s="1359"/>
      <c r="J74" s="1360"/>
      <c r="K74" s="416"/>
    </row>
    <row r="75" spans="1:11" s="418" customFormat="1" ht="21.75" customHeight="1">
      <c r="A75" s="1808" t="s">
        <v>360</v>
      </c>
      <c r="B75" s="1811" t="s">
        <v>361</v>
      </c>
      <c r="C75" s="1814">
        <v>750</v>
      </c>
      <c r="D75" s="1817" t="s">
        <v>333</v>
      </c>
      <c r="E75" s="1361" t="s">
        <v>322</v>
      </c>
      <c r="F75" s="1362">
        <f>SUM(F76,F89)</f>
        <v>26142840</v>
      </c>
      <c r="G75" s="1362">
        <f>SUM(G76,G89)</f>
        <v>3921426</v>
      </c>
      <c r="H75" s="1362">
        <f>SUM(H76,H89)</f>
        <v>0</v>
      </c>
      <c r="I75" s="1362">
        <f>SUM(I76,I89)</f>
        <v>22221414</v>
      </c>
      <c r="J75" s="1363">
        <f>SUM(J76,J89)</f>
        <v>0</v>
      </c>
      <c r="K75" s="417"/>
    </row>
    <row r="76" spans="1:11" s="418" customFormat="1" ht="24.95" customHeight="1">
      <c r="A76" s="1809"/>
      <c r="B76" s="1812"/>
      <c r="C76" s="1815"/>
      <c r="D76" s="1818"/>
      <c r="E76" s="1346" t="s">
        <v>334</v>
      </c>
      <c r="F76" s="1347">
        <f>SUM(F77,F86)</f>
        <v>26142840</v>
      </c>
      <c r="G76" s="1347">
        <f>SUM(G77,G86)</f>
        <v>3921426</v>
      </c>
      <c r="H76" s="1347">
        <f>SUM(H77,H86)</f>
        <v>0</v>
      </c>
      <c r="I76" s="1347">
        <f>SUM(I77,I86)</f>
        <v>22221414</v>
      </c>
      <c r="J76" s="1348">
        <f>SUM(J77,J86)</f>
        <v>0</v>
      </c>
      <c r="K76" s="416"/>
    </row>
    <row r="77" spans="1:11" s="418" customFormat="1" ht="24.95" customHeight="1">
      <c r="A77" s="1809"/>
      <c r="B77" s="1812"/>
      <c r="C77" s="1815"/>
      <c r="D77" s="1818"/>
      <c r="E77" s="1349" t="s">
        <v>335</v>
      </c>
      <c r="F77" s="1350">
        <f>SUM(F78:F85)</f>
        <v>26142840</v>
      </c>
      <c r="G77" s="1350">
        <f t="shared" ref="G77:J77" si="6">SUM(G78:G85)</f>
        <v>3921426</v>
      </c>
      <c r="H77" s="1350">
        <f t="shared" si="6"/>
        <v>0</v>
      </c>
      <c r="I77" s="1350">
        <f t="shared" si="6"/>
        <v>22221414</v>
      </c>
      <c r="J77" s="1351">
        <f t="shared" si="6"/>
        <v>0</v>
      </c>
      <c r="K77" s="417"/>
    </row>
    <row r="78" spans="1:11" s="418" customFormat="1" ht="15" customHeight="1">
      <c r="A78" s="1809"/>
      <c r="B78" s="1812"/>
      <c r="C78" s="1815"/>
      <c r="D78" s="1818"/>
      <c r="E78" s="1352" t="s">
        <v>362</v>
      </c>
      <c r="F78" s="1353">
        <f>SUM(G78:J78)</f>
        <v>17436835</v>
      </c>
      <c r="G78" s="1353"/>
      <c r="H78" s="1353"/>
      <c r="I78" s="1353">
        <v>17436835</v>
      </c>
      <c r="J78" s="1354"/>
      <c r="K78" s="416"/>
    </row>
    <row r="79" spans="1:11" s="418" customFormat="1" ht="15" customHeight="1">
      <c r="A79" s="1809"/>
      <c r="B79" s="1812"/>
      <c r="C79" s="1815"/>
      <c r="D79" s="1818"/>
      <c r="E79" s="1352" t="s">
        <v>363</v>
      </c>
      <c r="F79" s="1353">
        <f t="shared" ref="F79:F85" si="7">SUM(G79:J79)</f>
        <v>3077089</v>
      </c>
      <c r="G79" s="1353">
        <v>3077089</v>
      </c>
      <c r="H79" s="1353"/>
      <c r="I79" s="1353"/>
      <c r="J79" s="1354"/>
      <c r="K79" s="416"/>
    </row>
    <row r="80" spans="1:11" s="418" customFormat="1" ht="15" customHeight="1">
      <c r="A80" s="1809"/>
      <c r="B80" s="1812"/>
      <c r="C80" s="1815"/>
      <c r="D80" s="1818"/>
      <c r="E80" s="1352" t="s">
        <v>364</v>
      </c>
      <c r="F80" s="1353">
        <f t="shared" si="7"/>
        <v>1107282</v>
      </c>
      <c r="G80" s="1353"/>
      <c r="H80" s="1353"/>
      <c r="I80" s="1353">
        <v>1107282</v>
      </c>
      <c r="J80" s="1354"/>
      <c r="K80" s="416"/>
    </row>
    <row r="81" spans="1:226" s="418" customFormat="1" ht="15" customHeight="1">
      <c r="A81" s="1809"/>
      <c r="B81" s="1812"/>
      <c r="C81" s="1815"/>
      <c r="D81" s="1818"/>
      <c r="E81" s="1352" t="s">
        <v>365</v>
      </c>
      <c r="F81" s="1353">
        <f t="shared" si="7"/>
        <v>195401</v>
      </c>
      <c r="G81" s="1353">
        <v>195401</v>
      </c>
      <c r="H81" s="1353"/>
      <c r="I81" s="1353"/>
      <c r="J81" s="1354"/>
      <c r="K81" s="416"/>
    </row>
    <row r="82" spans="1:226" s="418" customFormat="1" ht="15" customHeight="1">
      <c r="A82" s="1809"/>
      <c r="B82" s="1812"/>
      <c r="C82" s="1815"/>
      <c r="D82" s="1818"/>
      <c r="E82" s="1352" t="s">
        <v>336</v>
      </c>
      <c r="F82" s="1353">
        <f t="shared" si="7"/>
        <v>3222967</v>
      </c>
      <c r="G82" s="1353"/>
      <c r="H82" s="1353"/>
      <c r="I82" s="1353">
        <v>3222967</v>
      </c>
      <c r="J82" s="1354"/>
      <c r="K82" s="416"/>
    </row>
    <row r="83" spans="1:226" s="418" customFormat="1" ht="15" customHeight="1">
      <c r="A83" s="1809"/>
      <c r="B83" s="1812"/>
      <c r="C83" s="1815"/>
      <c r="D83" s="1818"/>
      <c r="E83" s="1352" t="s">
        <v>337</v>
      </c>
      <c r="F83" s="1353">
        <f t="shared" si="7"/>
        <v>568760</v>
      </c>
      <c r="G83" s="1353">
        <v>568760</v>
      </c>
      <c r="H83" s="1353"/>
      <c r="I83" s="1353"/>
      <c r="J83" s="1354"/>
      <c r="K83" s="416"/>
    </row>
    <row r="84" spans="1:226" s="418" customFormat="1" ht="15" customHeight="1">
      <c r="A84" s="1809"/>
      <c r="B84" s="1812"/>
      <c r="C84" s="1815"/>
      <c r="D84" s="1818"/>
      <c r="E84" s="1352" t="s">
        <v>366</v>
      </c>
      <c r="F84" s="1353">
        <f t="shared" si="7"/>
        <v>454330</v>
      </c>
      <c r="G84" s="1353"/>
      <c r="H84" s="1353"/>
      <c r="I84" s="1353">
        <v>454330</v>
      </c>
      <c r="J84" s="1354"/>
      <c r="K84" s="416"/>
    </row>
    <row r="85" spans="1:226" s="418" customFormat="1" ht="15" customHeight="1">
      <c r="A85" s="1809"/>
      <c r="B85" s="1812"/>
      <c r="C85" s="1815"/>
      <c r="D85" s="1818"/>
      <c r="E85" s="1352" t="s">
        <v>367</v>
      </c>
      <c r="F85" s="1353">
        <f t="shared" si="7"/>
        <v>80176</v>
      </c>
      <c r="G85" s="1353">
        <v>80176</v>
      </c>
      <c r="H85" s="1353"/>
      <c r="I85" s="1353"/>
      <c r="J85" s="1354"/>
      <c r="K85" s="416"/>
    </row>
    <row r="86" spans="1:226" s="418" customFormat="1" ht="24.95" hidden="1" customHeight="1">
      <c r="A86" s="1809"/>
      <c r="B86" s="1812"/>
      <c r="C86" s="1815"/>
      <c r="D86" s="1818"/>
      <c r="E86" s="1349" t="s">
        <v>340</v>
      </c>
      <c r="F86" s="1350">
        <f>SUM(F87:F88)</f>
        <v>0</v>
      </c>
      <c r="G86" s="1350">
        <f>SUM(G87:G88)</f>
        <v>0</v>
      </c>
      <c r="H86" s="1350">
        <f>SUM(H87:H88)</f>
        <v>0</v>
      </c>
      <c r="I86" s="1350">
        <f>SUM(I87:I88)</f>
        <v>0</v>
      </c>
      <c r="J86" s="1351">
        <f>SUM(J87:J88)</f>
        <v>0</v>
      </c>
      <c r="K86" s="416"/>
      <c r="L86" s="416"/>
      <c r="M86" s="416"/>
      <c r="N86" s="416"/>
      <c r="O86" s="416"/>
      <c r="P86" s="416"/>
      <c r="Q86" s="416"/>
      <c r="R86" s="416"/>
      <c r="S86" s="416"/>
      <c r="T86" s="416"/>
      <c r="U86" s="416"/>
      <c r="V86" s="416"/>
      <c r="W86" s="416"/>
      <c r="X86" s="416"/>
      <c r="Y86" s="416"/>
      <c r="Z86" s="416"/>
      <c r="AA86" s="416"/>
      <c r="AB86" s="416"/>
      <c r="AC86" s="416"/>
      <c r="AD86" s="416"/>
      <c r="AE86" s="416"/>
      <c r="AF86" s="416"/>
      <c r="AG86" s="416"/>
      <c r="AH86" s="416"/>
      <c r="AI86" s="416"/>
      <c r="AJ86" s="416"/>
      <c r="AK86" s="416"/>
      <c r="AL86" s="416"/>
      <c r="AM86" s="416"/>
      <c r="AN86" s="416"/>
      <c r="AO86" s="416"/>
      <c r="AP86" s="416"/>
      <c r="AQ86" s="416"/>
      <c r="AR86" s="416"/>
      <c r="AS86" s="416"/>
      <c r="AT86" s="416"/>
      <c r="AU86" s="416"/>
      <c r="AV86" s="416"/>
      <c r="AW86" s="416"/>
      <c r="AX86" s="416"/>
      <c r="AY86" s="416"/>
      <c r="AZ86" s="416"/>
      <c r="BA86" s="416"/>
      <c r="BB86" s="416"/>
      <c r="BC86" s="416"/>
      <c r="BD86" s="416"/>
      <c r="BE86" s="416"/>
      <c r="BF86" s="416"/>
      <c r="BG86" s="416"/>
      <c r="BH86" s="416"/>
      <c r="BI86" s="416"/>
      <c r="BJ86" s="416"/>
      <c r="BK86" s="416"/>
      <c r="BL86" s="416"/>
      <c r="BM86" s="416"/>
      <c r="BN86" s="416"/>
      <c r="BO86" s="416"/>
      <c r="BP86" s="416"/>
      <c r="BQ86" s="416"/>
      <c r="BR86" s="416"/>
      <c r="BS86" s="416"/>
      <c r="BT86" s="416"/>
      <c r="BU86" s="416"/>
      <c r="BV86" s="416"/>
      <c r="BW86" s="416"/>
      <c r="BX86" s="416"/>
      <c r="BY86" s="416"/>
      <c r="BZ86" s="416"/>
      <c r="CA86" s="416"/>
      <c r="CB86" s="416"/>
      <c r="CC86" s="416"/>
      <c r="CD86" s="416"/>
      <c r="CE86" s="416"/>
      <c r="CF86" s="416"/>
      <c r="CG86" s="416"/>
      <c r="CH86" s="416"/>
      <c r="CI86" s="416"/>
      <c r="CJ86" s="416"/>
      <c r="CK86" s="416"/>
      <c r="CL86" s="416"/>
      <c r="CM86" s="416"/>
      <c r="CN86" s="416"/>
      <c r="CO86" s="416"/>
      <c r="CP86" s="416"/>
      <c r="CQ86" s="416"/>
      <c r="CR86" s="416"/>
      <c r="CS86" s="416"/>
      <c r="CT86" s="416"/>
      <c r="CU86" s="416"/>
      <c r="CV86" s="416"/>
      <c r="CW86" s="416"/>
      <c r="CX86" s="416"/>
      <c r="CY86" s="416"/>
      <c r="CZ86" s="416"/>
      <c r="DA86" s="416"/>
      <c r="DB86" s="416"/>
      <c r="DC86" s="416"/>
      <c r="DD86" s="416"/>
      <c r="DE86" s="416"/>
      <c r="DF86" s="416"/>
      <c r="DG86" s="416"/>
      <c r="DH86" s="416"/>
      <c r="DI86" s="416"/>
      <c r="DJ86" s="416"/>
      <c r="DK86" s="416"/>
      <c r="DL86" s="416"/>
      <c r="DM86" s="416"/>
      <c r="DN86" s="416"/>
      <c r="DO86" s="416"/>
      <c r="DP86" s="416"/>
      <c r="DQ86" s="416"/>
      <c r="DR86" s="416"/>
      <c r="DS86" s="416"/>
      <c r="DT86" s="416"/>
      <c r="DU86" s="416"/>
      <c r="DV86" s="416"/>
      <c r="DW86" s="416"/>
      <c r="DX86" s="416"/>
      <c r="DY86" s="416"/>
      <c r="DZ86" s="416"/>
      <c r="EA86" s="416"/>
      <c r="EB86" s="416"/>
      <c r="EC86" s="416"/>
      <c r="ED86" s="416"/>
      <c r="EE86" s="416"/>
      <c r="EF86" s="416"/>
      <c r="EG86" s="416"/>
      <c r="EH86" s="416"/>
      <c r="EI86" s="416"/>
      <c r="EJ86" s="416"/>
      <c r="EK86" s="416"/>
      <c r="EL86" s="416"/>
      <c r="EM86" s="416"/>
      <c r="EN86" s="416"/>
      <c r="EO86" s="416"/>
      <c r="EP86" s="416"/>
      <c r="EQ86" s="416"/>
      <c r="ER86" s="416"/>
      <c r="ES86" s="416"/>
      <c r="ET86" s="416"/>
      <c r="EU86" s="416"/>
      <c r="EV86" s="416"/>
      <c r="EW86" s="416"/>
      <c r="EX86" s="416"/>
      <c r="EY86" s="416"/>
      <c r="EZ86" s="416"/>
      <c r="FA86" s="416"/>
      <c r="FB86" s="416"/>
      <c r="FC86" s="416"/>
      <c r="FD86" s="416"/>
      <c r="FE86" s="416"/>
      <c r="FF86" s="416"/>
      <c r="FG86" s="416"/>
      <c r="FH86" s="416"/>
      <c r="FI86" s="416"/>
      <c r="FJ86" s="416"/>
      <c r="FK86" s="416"/>
      <c r="FL86" s="416"/>
      <c r="FM86" s="416"/>
      <c r="FN86" s="416"/>
      <c r="FO86" s="416"/>
      <c r="FP86" s="416"/>
      <c r="FQ86" s="416"/>
      <c r="FR86" s="416"/>
      <c r="FS86" s="416"/>
      <c r="FT86" s="416"/>
      <c r="FU86" s="416"/>
      <c r="FV86" s="416"/>
      <c r="FW86" s="416"/>
      <c r="FX86" s="416"/>
      <c r="FY86" s="416"/>
      <c r="FZ86" s="416"/>
      <c r="GA86" s="416"/>
      <c r="GB86" s="416"/>
      <c r="GC86" s="416"/>
      <c r="GD86" s="416"/>
      <c r="GE86" s="416"/>
      <c r="GF86" s="416"/>
      <c r="GG86" s="416"/>
      <c r="GH86" s="416"/>
      <c r="GI86" s="416"/>
      <c r="GJ86" s="416"/>
      <c r="GK86" s="416"/>
      <c r="GL86" s="416"/>
      <c r="GM86" s="416"/>
      <c r="GN86" s="416"/>
      <c r="GO86" s="416"/>
      <c r="GP86" s="416"/>
      <c r="GQ86" s="416"/>
      <c r="GR86" s="416"/>
      <c r="GS86" s="416"/>
      <c r="GT86" s="416"/>
      <c r="GU86" s="416"/>
      <c r="GV86" s="416"/>
      <c r="GW86" s="416"/>
      <c r="GX86" s="416"/>
      <c r="GY86" s="416"/>
      <c r="GZ86" s="416"/>
      <c r="HA86" s="416"/>
      <c r="HB86" s="416"/>
      <c r="HC86" s="416"/>
      <c r="HD86" s="416"/>
      <c r="HE86" s="416"/>
      <c r="HF86" s="416"/>
      <c r="HG86" s="416"/>
      <c r="HH86" s="416"/>
      <c r="HI86" s="416"/>
      <c r="HJ86" s="416"/>
      <c r="HK86" s="416"/>
      <c r="HL86" s="416"/>
      <c r="HM86" s="416"/>
      <c r="HN86" s="416"/>
      <c r="HO86" s="416"/>
      <c r="HP86" s="416"/>
      <c r="HQ86" s="416"/>
      <c r="HR86" s="416"/>
    </row>
    <row r="87" spans="1:226" s="418" customFormat="1" ht="15" hidden="1" customHeight="1">
      <c r="A87" s="1809"/>
      <c r="B87" s="1812"/>
      <c r="C87" s="1815"/>
      <c r="D87" s="1818"/>
      <c r="E87" s="1352"/>
      <c r="F87" s="1353">
        <f>SUM(G87:J87)</f>
        <v>0</v>
      </c>
      <c r="G87" s="1353"/>
      <c r="H87" s="1353"/>
      <c r="I87" s="1353"/>
      <c r="J87" s="1354"/>
      <c r="K87" s="416"/>
    </row>
    <row r="88" spans="1:226" s="418" customFormat="1" ht="15" hidden="1" customHeight="1">
      <c r="A88" s="1809"/>
      <c r="B88" s="1812"/>
      <c r="C88" s="1815"/>
      <c r="D88" s="1818"/>
      <c r="E88" s="1352"/>
      <c r="F88" s="1353">
        <f>SUM(G88:J88)</f>
        <v>0</v>
      </c>
      <c r="G88" s="1353"/>
      <c r="H88" s="1353"/>
      <c r="I88" s="1353"/>
      <c r="J88" s="1354"/>
      <c r="K88" s="416"/>
    </row>
    <row r="89" spans="1:226" s="418" customFormat="1" ht="18" customHeight="1" thickBot="1">
      <c r="A89" s="1810"/>
      <c r="B89" s="1813"/>
      <c r="C89" s="1816"/>
      <c r="D89" s="1819"/>
      <c r="E89" s="1364" t="s">
        <v>324</v>
      </c>
      <c r="F89" s="1365">
        <f>SUM(F90:F90)</f>
        <v>0</v>
      </c>
      <c r="G89" s="1365">
        <f>SUM(G90:G90)</f>
        <v>0</v>
      </c>
      <c r="H89" s="1365">
        <f>SUM(H90:H90)</f>
        <v>0</v>
      </c>
      <c r="I89" s="1365">
        <f>SUM(I90:I90)</f>
        <v>0</v>
      </c>
      <c r="J89" s="1366">
        <f>SUM(J90:J90)</f>
        <v>0</v>
      </c>
      <c r="K89" s="416"/>
    </row>
    <row r="90" spans="1:226" s="418" customFormat="1" ht="15" hidden="1" customHeight="1">
      <c r="A90" s="426"/>
      <c r="B90" s="1367"/>
      <c r="C90" s="1368"/>
      <c r="D90" s="1369"/>
      <c r="E90" s="1370"/>
      <c r="F90" s="1371">
        <f>SUM(G90:J90)</f>
        <v>0</v>
      </c>
      <c r="G90" s="1371"/>
      <c r="H90" s="1371"/>
      <c r="I90" s="1371"/>
      <c r="J90" s="1372"/>
      <c r="K90" s="416"/>
    </row>
    <row r="91" spans="1:226" s="418" customFormat="1" ht="21.75" customHeight="1">
      <c r="A91" s="1782" t="s">
        <v>368</v>
      </c>
      <c r="B91" s="1833" t="s">
        <v>369</v>
      </c>
      <c r="C91" s="1822">
        <v>750</v>
      </c>
      <c r="D91" s="1824" t="s">
        <v>333</v>
      </c>
      <c r="E91" s="1361" t="s">
        <v>322</v>
      </c>
      <c r="F91" s="1362">
        <f>SUM(F92,F125)</f>
        <v>4847020</v>
      </c>
      <c r="G91" s="1362">
        <f>SUM(G92,G125)</f>
        <v>727053</v>
      </c>
      <c r="H91" s="1362">
        <f>SUM(H92,H125)</f>
        <v>0</v>
      </c>
      <c r="I91" s="1362">
        <f>SUM(I92,I125)</f>
        <v>4119967</v>
      </c>
      <c r="J91" s="1363">
        <f>SUM(J92,J125)</f>
        <v>0</v>
      </c>
      <c r="K91" s="416"/>
    </row>
    <row r="92" spans="1:226" s="418" customFormat="1" ht="21" customHeight="1">
      <c r="A92" s="1772"/>
      <c r="B92" s="1774"/>
      <c r="C92" s="1804"/>
      <c r="D92" s="1806"/>
      <c r="E92" s="1346" t="s">
        <v>334</v>
      </c>
      <c r="F92" s="1347">
        <f>SUM(F93,F100)</f>
        <v>4147020</v>
      </c>
      <c r="G92" s="1347">
        <f>SUM(G93,G100)</f>
        <v>622053</v>
      </c>
      <c r="H92" s="1347">
        <f>SUM(H93,H100)</f>
        <v>0</v>
      </c>
      <c r="I92" s="1347">
        <f>SUM(I93,I100)</f>
        <v>3524967</v>
      </c>
      <c r="J92" s="1348">
        <f>SUM(J93,J100)</f>
        <v>0</v>
      </c>
      <c r="K92" s="416"/>
    </row>
    <row r="93" spans="1:226" s="418" customFormat="1" ht="21" customHeight="1">
      <c r="A93" s="1772"/>
      <c r="B93" s="1774"/>
      <c r="C93" s="1804"/>
      <c r="D93" s="1806"/>
      <c r="E93" s="1349" t="s">
        <v>335</v>
      </c>
      <c r="F93" s="1350">
        <f>SUM(F94:F99)</f>
        <v>1917020</v>
      </c>
      <c r="G93" s="1350">
        <f t="shared" ref="G93:J93" si="8">SUM(G94:G99)</f>
        <v>287553</v>
      </c>
      <c r="H93" s="1350">
        <f t="shared" si="8"/>
        <v>0</v>
      </c>
      <c r="I93" s="1350">
        <f t="shared" si="8"/>
        <v>1629467</v>
      </c>
      <c r="J93" s="1351">
        <f t="shared" si="8"/>
        <v>0</v>
      </c>
      <c r="K93" s="416"/>
    </row>
    <row r="94" spans="1:226" s="418" customFormat="1" ht="14.1" customHeight="1">
      <c r="A94" s="1772"/>
      <c r="B94" s="1774"/>
      <c r="C94" s="1804"/>
      <c r="D94" s="1806"/>
      <c r="E94" s="1352" t="s">
        <v>336</v>
      </c>
      <c r="F94" s="1353">
        <f t="shared" ref="F94:F99" si="9">SUM(G94:J94)</f>
        <v>25126</v>
      </c>
      <c r="G94" s="1353"/>
      <c r="H94" s="1353"/>
      <c r="I94" s="1353">
        <v>25126</v>
      </c>
      <c r="J94" s="1354"/>
      <c r="K94" s="416"/>
    </row>
    <row r="95" spans="1:226" s="418" customFormat="1" ht="14.1" customHeight="1">
      <c r="A95" s="1772"/>
      <c r="B95" s="1774"/>
      <c r="C95" s="1804"/>
      <c r="D95" s="1806"/>
      <c r="E95" s="1352" t="s">
        <v>337</v>
      </c>
      <c r="F95" s="1353">
        <f t="shared" si="9"/>
        <v>4434</v>
      </c>
      <c r="G95" s="1353">
        <v>4434</v>
      </c>
      <c r="H95" s="1353"/>
      <c r="I95" s="1353"/>
      <c r="J95" s="1354"/>
      <c r="K95" s="416"/>
    </row>
    <row r="96" spans="1:226" s="418" customFormat="1" ht="14.1" customHeight="1">
      <c r="A96" s="1772"/>
      <c r="B96" s="1774"/>
      <c r="C96" s="1804"/>
      <c r="D96" s="1806"/>
      <c r="E96" s="1352" t="s">
        <v>366</v>
      </c>
      <c r="F96" s="1353">
        <f t="shared" si="9"/>
        <v>3366</v>
      </c>
      <c r="G96" s="1353"/>
      <c r="H96" s="1353"/>
      <c r="I96" s="1353">
        <v>3366</v>
      </c>
      <c r="J96" s="1354"/>
      <c r="K96" s="416"/>
    </row>
    <row r="97" spans="1:226" s="418" customFormat="1" ht="14.1" customHeight="1">
      <c r="A97" s="1772"/>
      <c r="B97" s="1774"/>
      <c r="C97" s="1804"/>
      <c r="D97" s="1806"/>
      <c r="E97" s="1352" t="s">
        <v>367</v>
      </c>
      <c r="F97" s="1353">
        <f t="shared" si="9"/>
        <v>594</v>
      </c>
      <c r="G97" s="1353">
        <v>594</v>
      </c>
      <c r="H97" s="1353"/>
      <c r="I97" s="1353"/>
      <c r="J97" s="1354"/>
      <c r="K97" s="416"/>
    </row>
    <row r="98" spans="1:226" s="418" customFormat="1" ht="14.1" customHeight="1">
      <c r="A98" s="1772"/>
      <c r="B98" s="1774"/>
      <c r="C98" s="1804"/>
      <c r="D98" s="1806"/>
      <c r="E98" s="1352" t="s">
        <v>338</v>
      </c>
      <c r="F98" s="1353">
        <f t="shared" si="9"/>
        <v>1600975</v>
      </c>
      <c r="G98" s="1353"/>
      <c r="H98" s="1353"/>
      <c r="I98" s="1353">
        <v>1600975</v>
      </c>
      <c r="J98" s="1354"/>
      <c r="K98" s="416"/>
    </row>
    <row r="99" spans="1:226" s="418" customFormat="1" ht="14.1" customHeight="1">
      <c r="A99" s="1772"/>
      <c r="B99" s="1774"/>
      <c r="C99" s="1804"/>
      <c r="D99" s="1806"/>
      <c r="E99" s="1352" t="s">
        <v>339</v>
      </c>
      <c r="F99" s="1353">
        <f t="shared" si="9"/>
        <v>282525</v>
      </c>
      <c r="G99" s="1353">
        <v>282525</v>
      </c>
      <c r="H99" s="1353"/>
      <c r="I99" s="1353"/>
      <c r="J99" s="1354"/>
      <c r="K99" s="416"/>
    </row>
    <row r="100" spans="1:226" s="418" customFormat="1" ht="21.75" customHeight="1">
      <c r="A100" s="1772"/>
      <c r="B100" s="1774"/>
      <c r="C100" s="1804"/>
      <c r="D100" s="1806"/>
      <c r="E100" s="1349" t="s">
        <v>340</v>
      </c>
      <c r="F100" s="1350">
        <f>SUM(F101:F124)</f>
        <v>2230000</v>
      </c>
      <c r="G100" s="1350">
        <f t="shared" ref="G100:J100" si="10">SUM(G101:G124)</f>
        <v>334500</v>
      </c>
      <c r="H100" s="1350">
        <f t="shared" si="10"/>
        <v>0</v>
      </c>
      <c r="I100" s="1350">
        <f t="shared" si="10"/>
        <v>1895500</v>
      </c>
      <c r="J100" s="1351">
        <f t="shared" si="10"/>
        <v>0</v>
      </c>
      <c r="K100" s="416"/>
      <c r="L100" s="416"/>
      <c r="M100" s="416"/>
      <c r="N100" s="416"/>
      <c r="O100" s="416"/>
      <c r="P100" s="416"/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  <c r="AA100" s="416"/>
      <c r="AB100" s="416"/>
      <c r="AC100" s="416"/>
      <c r="AD100" s="416"/>
      <c r="AE100" s="416"/>
      <c r="AF100" s="416"/>
      <c r="AG100" s="416"/>
      <c r="AH100" s="416"/>
      <c r="AI100" s="416"/>
      <c r="AJ100" s="416"/>
      <c r="AK100" s="416"/>
      <c r="AL100" s="416"/>
      <c r="AM100" s="416"/>
      <c r="AN100" s="416"/>
      <c r="AO100" s="416"/>
      <c r="AP100" s="416"/>
      <c r="AQ100" s="416"/>
      <c r="AR100" s="416"/>
      <c r="AS100" s="416"/>
      <c r="AT100" s="416"/>
      <c r="AU100" s="416"/>
      <c r="AV100" s="416"/>
      <c r="AW100" s="416"/>
      <c r="AX100" s="416"/>
      <c r="AY100" s="416"/>
      <c r="AZ100" s="416"/>
      <c r="BA100" s="416"/>
      <c r="BB100" s="416"/>
      <c r="BC100" s="416"/>
      <c r="BD100" s="416"/>
      <c r="BE100" s="416"/>
      <c r="BF100" s="416"/>
      <c r="BG100" s="416"/>
      <c r="BH100" s="416"/>
      <c r="BI100" s="416"/>
      <c r="BJ100" s="416"/>
      <c r="BK100" s="416"/>
      <c r="BL100" s="416"/>
      <c r="BM100" s="416"/>
      <c r="BN100" s="416"/>
      <c r="BO100" s="416"/>
      <c r="BP100" s="416"/>
      <c r="BQ100" s="416"/>
      <c r="BR100" s="416"/>
      <c r="BS100" s="416"/>
      <c r="BT100" s="416"/>
      <c r="BU100" s="416"/>
      <c r="BV100" s="416"/>
      <c r="BW100" s="416"/>
      <c r="BX100" s="416"/>
      <c r="BY100" s="416"/>
      <c r="BZ100" s="416"/>
      <c r="CA100" s="416"/>
      <c r="CB100" s="416"/>
      <c r="CC100" s="416"/>
      <c r="CD100" s="416"/>
      <c r="CE100" s="416"/>
      <c r="CF100" s="416"/>
      <c r="CG100" s="416"/>
      <c r="CH100" s="416"/>
      <c r="CI100" s="416"/>
      <c r="CJ100" s="416"/>
      <c r="CK100" s="416"/>
      <c r="CL100" s="416"/>
      <c r="CM100" s="416"/>
      <c r="CN100" s="416"/>
      <c r="CO100" s="416"/>
      <c r="CP100" s="416"/>
      <c r="CQ100" s="416"/>
      <c r="CR100" s="416"/>
      <c r="CS100" s="416"/>
      <c r="CT100" s="416"/>
      <c r="CU100" s="416"/>
      <c r="CV100" s="416"/>
      <c r="CW100" s="416"/>
      <c r="CX100" s="416"/>
      <c r="CY100" s="416"/>
      <c r="CZ100" s="416"/>
      <c r="DA100" s="416"/>
      <c r="DB100" s="416"/>
      <c r="DC100" s="416"/>
      <c r="DD100" s="416"/>
      <c r="DE100" s="416"/>
      <c r="DF100" s="416"/>
      <c r="DG100" s="416"/>
      <c r="DH100" s="416"/>
      <c r="DI100" s="416"/>
      <c r="DJ100" s="416"/>
      <c r="DK100" s="416"/>
      <c r="DL100" s="416"/>
      <c r="DM100" s="416"/>
      <c r="DN100" s="416"/>
      <c r="DO100" s="416"/>
      <c r="DP100" s="416"/>
      <c r="DQ100" s="416"/>
      <c r="DR100" s="416"/>
      <c r="DS100" s="416"/>
      <c r="DT100" s="416"/>
      <c r="DU100" s="416"/>
      <c r="DV100" s="416"/>
      <c r="DW100" s="416"/>
      <c r="DX100" s="416"/>
      <c r="DY100" s="416"/>
      <c r="DZ100" s="416"/>
      <c r="EA100" s="416"/>
      <c r="EB100" s="416"/>
      <c r="EC100" s="416"/>
      <c r="ED100" s="416"/>
      <c r="EE100" s="416"/>
      <c r="EF100" s="416"/>
      <c r="EG100" s="416"/>
      <c r="EH100" s="416"/>
      <c r="EI100" s="416"/>
      <c r="EJ100" s="416"/>
      <c r="EK100" s="416"/>
      <c r="EL100" s="416"/>
      <c r="EM100" s="416"/>
      <c r="EN100" s="416"/>
      <c r="EO100" s="416"/>
      <c r="EP100" s="416"/>
      <c r="EQ100" s="416"/>
      <c r="ER100" s="416"/>
      <c r="ES100" s="416"/>
      <c r="ET100" s="416"/>
      <c r="EU100" s="416"/>
      <c r="EV100" s="416"/>
      <c r="EW100" s="416"/>
      <c r="EX100" s="416"/>
      <c r="EY100" s="416"/>
      <c r="EZ100" s="416"/>
      <c r="FA100" s="416"/>
      <c r="FB100" s="416"/>
      <c r="FC100" s="416"/>
      <c r="FD100" s="416"/>
      <c r="FE100" s="416"/>
      <c r="FF100" s="416"/>
      <c r="FG100" s="416"/>
      <c r="FH100" s="416"/>
      <c r="FI100" s="416"/>
      <c r="FJ100" s="416"/>
      <c r="FK100" s="416"/>
      <c r="FL100" s="416"/>
      <c r="FM100" s="416"/>
      <c r="FN100" s="416"/>
      <c r="FO100" s="416"/>
      <c r="FP100" s="416"/>
      <c r="FQ100" s="416"/>
      <c r="FR100" s="416"/>
      <c r="FS100" s="416"/>
      <c r="FT100" s="416"/>
      <c r="FU100" s="416"/>
      <c r="FV100" s="416"/>
      <c r="FW100" s="416"/>
      <c r="FX100" s="416"/>
      <c r="FY100" s="416"/>
      <c r="FZ100" s="416"/>
      <c r="GA100" s="416"/>
      <c r="GB100" s="416"/>
      <c r="GC100" s="416"/>
      <c r="GD100" s="416"/>
      <c r="GE100" s="416"/>
      <c r="GF100" s="416"/>
      <c r="GG100" s="416"/>
      <c r="GH100" s="416"/>
      <c r="GI100" s="416"/>
      <c r="GJ100" s="416"/>
      <c r="GK100" s="416"/>
      <c r="GL100" s="416"/>
      <c r="GM100" s="416"/>
      <c r="GN100" s="416"/>
      <c r="GO100" s="416"/>
      <c r="GP100" s="416"/>
      <c r="GQ100" s="416"/>
      <c r="GR100" s="416"/>
      <c r="GS100" s="416"/>
      <c r="GT100" s="416"/>
      <c r="GU100" s="416"/>
      <c r="GV100" s="416"/>
      <c r="GW100" s="416"/>
      <c r="GX100" s="416"/>
      <c r="GY100" s="416"/>
      <c r="GZ100" s="416"/>
      <c r="HA100" s="416"/>
      <c r="HB100" s="416"/>
      <c r="HC100" s="416"/>
      <c r="HD100" s="416"/>
      <c r="HE100" s="416"/>
      <c r="HF100" s="416"/>
      <c r="HG100" s="416"/>
      <c r="HH100" s="416"/>
      <c r="HI100" s="416"/>
      <c r="HJ100" s="416"/>
      <c r="HK100" s="416"/>
      <c r="HL100" s="416"/>
      <c r="HM100" s="416"/>
      <c r="HN100" s="416"/>
      <c r="HO100" s="416"/>
      <c r="HP100" s="416"/>
      <c r="HQ100" s="416"/>
      <c r="HR100" s="416"/>
    </row>
    <row r="101" spans="1:226" s="418" customFormat="1" ht="15" customHeight="1">
      <c r="A101" s="1772"/>
      <c r="B101" s="1774"/>
      <c r="C101" s="1804"/>
      <c r="D101" s="1806"/>
      <c r="E101" s="1352" t="s">
        <v>370</v>
      </c>
      <c r="F101" s="1353">
        <f>SUM(G101:J101)</f>
        <v>21250</v>
      </c>
      <c r="G101" s="1353"/>
      <c r="H101" s="1353"/>
      <c r="I101" s="1353">
        <v>21250</v>
      </c>
      <c r="J101" s="1354"/>
      <c r="K101" s="416"/>
    </row>
    <row r="102" spans="1:226" s="418" customFormat="1" ht="15" customHeight="1">
      <c r="A102" s="1772"/>
      <c r="B102" s="1774"/>
      <c r="C102" s="1804"/>
      <c r="D102" s="1806"/>
      <c r="E102" s="1352" t="s">
        <v>371</v>
      </c>
      <c r="F102" s="1353">
        <f t="shared" ref="F102:F124" si="11">SUM(G102:J102)</f>
        <v>3750</v>
      </c>
      <c r="G102" s="1353">
        <v>3750</v>
      </c>
      <c r="H102" s="1353"/>
      <c r="I102" s="1353"/>
      <c r="J102" s="1354"/>
      <c r="K102" s="416"/>
    </row>
    <row r="103" spans="1:226" s="418" customFormat="1" ht="15" customHeight="1">
      <c r="A103" s="1772"/>
      <c r="B103" s="1774"/>
      <c r="C103" s="1804"/>
      <c r="D103" s="1806"/>
      <c r="E103" s="1352" t="s">
        <v>341</v>
      </c>
      <c r="F103" s="1353">
        <f t="shared" si="11"/>
        <v>510000</v>
      </c>
      <c r="G103" s="1353"/>
      <c r="H103" s="1353"/>
      <c r="I103" s="1353">
        <v>510000</v>
      </c>
      <c r="J103" s="1354"/>
      <c r="K103" s="416"/>
    </row>
    <row r="104" spans="1:226" s="418" customFormat="1" ht="15" customHeight="1">
      <c r="A104" s="1772"/>
      <c r="B104" s="1774"/>
      <c r="C104" s="1804"/>
      <c r="D104" s="1806"/>
      <c r="E104" s="1352" t="s">
        <v>342</v>
      </c>
      <c r="F104" s="1353">
        <f t="shared" si="11"/>
        <v>90000</v>
      </c>
      <c r="G104" s="1353">
        <v>90000</v>
      </c>
      <c r="H104" s="1353"/>
      <c r="I104" s="1353"/>
      <c r="J104" s="1354"/>
      <c r="K104" s="416"/>
    </row>
    <row r="105" spans="1:226" s="418" customFormat="1" ht="15" customHeight="1">
      <c r="A105" s="1772"/>
      <c r="B105" s="1774"/>
      <c r="C105" s="1804"/>
      <c r="D105" s="1806"/>
      <c r="E105" s="1352" t="s">
        <v>372</v>
      </c>
      <c r="F105" s="1353">
        <f t="shared" si="11"/>
        <v>289000</v>
      </c>
      <c r="G105" s="1353"/>
      <c r="H105" s="1353"/>
      <c r="I105" s="1353">
        <v>289000</v>
      </c>
      <c r="J105" s="1354"/>
      <c r="K105" s="416"/>
    </row>
    <row r="106" spans="1:226" s="418" customFormat="1" ht="15" customHeight="1">
      <c r="A106" s="1772"/>
      <c r="B106" s="1774"/>
      <c r="C106" s="1804"/>
      <c r="D106" s="1806"/>
      <c r="E106" s="1352" t="s">
        <v>373</v>
      </c>
      <c r="F106" s="1353">
        <f t="shared" si="11"/>
        <v>51000</v>
      </c>
      <c r="G106" s="1353">
        <v>51000</v>
      </c>
      <c r="H106" s="1353"/>
      <c r="I106" s="1353"/>
      <c r="J106" s="1354"/>
      <c r="K106" s="416"/>
    </row>
    <row r="107" spans="1:226" s="418" customFormat="1" ht="15" customHeight="1">
      <c r="A107" s="1772"/>
      <c r="B107" s="1774"/>
      <c r="C107" s="1804"/>
      <c r="D107" s="1806"/>
      <c r="E107" s="1352" t="s">
        <v>374</v>
      </c>
      <c r="F107" s="1353">
        <f t="shared" si="11"/>
        <v>21250</v>
      </c>
      <c r="G107" s="1353"/>
      <c r="H107" s="1353"/>
      <c r="I107" s="1353">
        <v>21250</v>
      </c>
      <c r="J107" s="1354"/>
      <c r="K107" s="416"/>
    </row>
    <row r="108" spans="1:226" s="418" customFormat="1" ht="15" customHeight="1">
      <c r="A108" s="1772"/>
      <c r="B108" s="1774"/>
      <c r="C108" s="1804"/>
      <c r="D108" s="1806"/>
      <c r="E108" s="1352" t="s">
        <v>375</v>
      </c>
      <c r="F108" s="1353">
        <f t="shared" si="11"/>
        <v>3750</v>
      </c>
      <c r="G108" s="1353">
        <v>3750</v>
      </c>
      <c r="H108" s="1353"/>
      <c r="I108" s="1353"/>
      <c r="J108" s="1354"/>
      <c r="K108" s="416"/>
    </row>
    <row r="109" spans="1:226" s="418" customFormat="1" ht="15" customHeight="1">
      <c r="A109" s="1772"/>
      <c r="B109" s="1774"/>
      <c r="C109" s="1804"/>
      <c r="D109" s="1806"/>
      <c r="E109" s="1352" t="s">
        <v>343</v>
      </c>
      <c r="F109" s="1353">
        <f t="shared" si="11"/>
        <v>561000</v>
      </c>
      <c r="G109" s="1353"/>
      <c r="H109" s="1353"/>
      <c r="I109" s="1353">
        <v>561000</v>
      </c>
      <c r="J109" s="1354"/>
      <c r="K109" s="416"/>
    </row>
    <row r="110" spans="1:226" s="418" customFormat="1" ht="15" customHeight="1">
      <c r="A110" s="1772"/>
      <c r="B110" s="1774"/>
      <c r="C110" s="1804"/>
      <c r="D110" s="1806"/>
      <c r="E110" s="1352" t="s">
        <v>344</v>
      </c>
      <c r="F110" s="1353">
        <f t="shared" si="11"/>
        <v>99000</v>
      </c>
      <c r="G110" s="1353">
        <v>99000</v>
      </c>
      <c r="H110" s="1353"/>
      <c r="I110" s="1353"/>
      <c r="J110" s="1354"/>
      <c r="K110" s="416"/>
    </row>
    <row r="111" spans="1:226" s="418" customFormat="1" ht="15" customHeight="1">
      <c r="A111" s="1772"/>
      <c r="B111" s="1774"/>
      <c r="C111" s="1804"/>
      <c r="D111" s="1806"/>
      <c r="E111" s="1352" t="s">
        <v>358</v>
      </c>
      <c r="F111" s="1353">
        <f t="shared" si="11"/>
        <v>17000</v>
      </c>
      <c r="G111" s="1353"/>
      <c r="H111" s="1353"/>
      <c r="I111" s="1353">
        <v>17000</v>
      </c>
      <c r="J111" s="1354"/>
      <c r="K111" s="416"/>
    </row>
    <row r="112" spans="1:226" s="418" customFormat="1" ht="15" customHeight="1">
      <c r="A112" s="1772"/>
      <c r="B112" s="1774"/>
      <c r="C112" s="1804"/>
      <c r="D112" s="1806"/>
      <c r="E112" s="1352" t="s">
        <v>359</v>
      </c>
      <c r="F112" s="1353">
        <f t="shared" si="11"/>
        <v>3000</v>
      </c>
      <c r="G112" s="1353">
        <v>3000</v>
      </c>
      <c r="H112" s="1353"/>
      <c r="I112" s="1353"/>
      <c r="J112" s="1354"/>
      <c r="K112" s="416"/>
    </row>
    <row r="113" spans="1:11" s="418" customFormat="1" ht="15" customHeight="1">
      <c r="A113" s="1772"/>
      <c r="B113" s="1774"/>
      <c r="C113" s="1804"/>
      <c r="D113" s="1806"/>
      <c r="E113" s="1352" t="s">
        <v>352</v>
      </c>
      <c r="F113" s="1353">
        <f t="shared" si="11"/>
        <v>17000</v>
      </c>
      <c r="G113" s="1353"/>
      <c r="H113" s="1353"/>
      <c r="I113" s="1353">
        <v>17000</v>
      </c>
      <c r="J113" s="1354"/>
      <c r="K113" s="416"/>
    </row>
    <row r="114" spans="1:11" s="418" customFormat="1" ht="15" customHeight="1">
      <c r="A114" s="1772"/>
      <c r="B114" s="1774"/>
      <c r="C114" s="1804"/>
      <c r="D114" s="1806"/>
      <c r="E114" s="1352" t="s">
        <v>353</v>
      </c>
      <c r="F114" s="1353">
        <f t="shared" si="11"/>
        <v>3000</v>
      </c>
      <c r="G114" s="1353">
        <v>3000</v>
      </c>
      <c r="H114" s="1353"/>
      <c r="I114" s="1353"/>
      <c r="J114" s="1354"/>
      <c r="K114" s="416"/>
    </row>
    <row r="115" spans="1:11" s="418" customFormat="1" ht="15" customHeight="1">
      <c r="A115" s="1772"/>
      <c r="B115" s="1774"/>
      <c r="C115" s="1804"/>
      <c r="D115" s="1806"/>
      <c r="E115" s="1352" t="s">
        <v>345</v>
      </c>
      <c r="F115" s="1353">
        <f t="shared" si="11"/>
        <v>97750</v>
      </c>
      <c r="G115" s="1353"/>
      <c r="H115" s="1353"/>
      <c r="I115" s="1353">
        <v>97750</v>
      </c>
      <c r="J115" s="1354"/>
      <c r="K115" s="416"/>
    </row>
    <row r="116" spans="1:11" s="418" customFormat="1" ht="15" customHeight="1">
      <c r="A116" s="1772"/>
      <c r="B116" s="1774"/>
      <c r="C116" s="1804"/>
      <c r="D116" s="1806"/>
      <c r="E116" s="1352" t="s">
        <v>346</v>
      </c>
      <c r="F116" s="1353">
        <f t="shared" si="11"/>
        <v>17250</v>
      </c>
      <c r="G116" s="1353">
        <v>17250</v>
      </c>
      <c r="H116" s="1353"/>
      <c r="I116" s="1353"/>
      <c r="J116" s="1354"/>
      <c r="K116" s="416"/>
    </row>
    <row r="117" spans="1:11" s="418" customFormat="1" ht="15" customHeight="1">
      <c r="A117" s="1772"/>
      <c r="B117" s="1774"/>
      <c r="C117" s="1804"/>
      <c r="D117" s="1806"/>
      <c r="E117" s="1352" t="s">
        <v>376</v>
      </c>
      <c r="F117" s="1353">
        <f t="shared" si="11"/>
        <v>34000</v>
      </c>
      <c r="G117" s="1353"/>
      <c r="H117" s="1353"/>
      <c r="I117" s="1353">
        <v>34000</v>
      </c>
      <c r="J117" s="1354"/>
      <c r="K117" s="416"/>
    </row>
    <row r="118" spans="1:11" s="418" customFormat="1" ht="15" customHeight="1">
      <c r="A118" s="1772"/>
      <c r="B118" s="1774"/>
      <c r="C118" s="1804"/>
      <c r="D118" s="1806"/>
      <c r="E118" s="1352" t="s">
        <v>377</v>
      </c>
      <c r="F118" s="1353">
        <f t="shared" si="11"/>
        <v>6000</v>
      </c>
      <c r="G118" s="1353">
        <v>6000</v>
      </c>
      <c r="H118" s="1353"/>
      <c r="I118" s="1353"/>
      <c r="J118" s="1354"/>
      <c r="K118" s="416"/>
    </row>
    <row r="119" spans="1:11" s="418" customFormat="1" ht="15" customHeight="1">
      <c r="A119" s="1772"/>
      <c r="B119" s="1774"/>
      <c r="C119" s="1804"/>
      <c r="D119" s="1806"/>
      <c r="E119" s="1352" t="s">
        <v>378</v>
      </c>
      <c r="F119" s="1353">
        <f t="shared" si="11"/>
        <v>25500</v>
      </c>
      <c r="G119" s="1353"/>
      <c r="H119" s="1353"/>
      <c r="I119" s="1353">
        <v>25500</v>
      </c>
      <c r="J119" s="1354"/>
      <c r="K119" s="416"/>
    </row>
    <row r="120" spans="1:11" s="418" customFormat="1" ht="15" customHeight="1">
      <c r="A120" s="1772"/>
      <c r="B120" s="1774"/>
      <c r="C120" s="1804"/>
      <c r="D120" s="1806"/>
      <c r="E120" s="1352" t="s">
        <v>379</v>
      </c>
      <c r="F120" s="1353">
        <f t="shared" si="11"/>
        <v>4500</v>
      </c>
      <c r="G120" s="1353">
        <v>4500</v>
      </c>
      <c r="H120" s="1353"/>
      <c r="I120" s="1353"/>
      <c r="J120" s="1354"/>
      <c r="K120" s="416"/>
    </row>
    <row r="121" spans="1:11" s="418" customFormat="1" ht="15" customHeight="1">
      <c r="A121" s="1772"/>
      <c r="B121" s="1774"/>
      <c r="C121" s="1804"/>
      <c r="D121" s="1806"/>
      <c r="E121" s="1352" t="s">
        <v>347</v>
      </c>
      <c r="F121" s="1353">
        <f t="shared" si="11"/>
        <v>89250</v>
      </c>
      <c r="G121" s="1353"/>
      <c r="H121" s="1353"/>
      <c r="I121" s="1353">
        <v>89250</v>
      </c>
      <c r="J121" s="1354"/>
      <c r="K121" s="416"/>
    </row>
    <row r="122" spans="1:11" s="418" customFormat="1" ht="15" customHeight="1">
      <c r="A122" s="1772"/>
      <c r="B122" s="1774"/>
      <c r="C122" s="1804"/>
      <c r="D122" s="1806"/>
      <c r="E122" s="1352" t="s">
        <v>348</v>
      </c>
      <c r="F122" s="1353">
        <f t="shared" si="11"/>
        <v>15750</v>
      </c>
      <c r="G122" s="1353">
        <v>15750</v>
      </c>
      <c r="H122" s="1353"/>
      <c r="I122" s="1353"/>
      <c r="J122" s="1354"/>
      <c r="K122" s="416"/>
    </row>
    <row r="123" spans="1:11" s="418" customFormat="1" ht="15" customHeight="1">
      <c r="A123" s="1772"/>
      <c r="B123" s="1774"/>
      <c r="C123" s="1804"/>
      <c r="D123" s="1806"/>
      <c r="E123" s="1352" t="s">
        <v>380</v>
      </c>
      <c r="F123" s="1353">
        <f t="shared" si="11"/>
        <v>212500</v>
      </c>
      <c r="G123" s="1353"/>
      <c r="H123" s="1353"/>
      <c r="I123" s="1353">
        <v>212500</v>
      </c>
      <c r="J123" s="1354"/>
      <c r="K123" s="416"/>
    </row>
    <row r="124" spans="1:11" s="418" customFormat="1" ht="15" customHeight="1">
      <c r="A124" s="1772"/>
      <c r="B124" s="1774"/>
      <c r="C124" s="1804"/>
      <c r="D124" s="1806"/>
      <c r="E124" s="1352" t="s">
        <v>381</v>
      </c>
      <c r="F124" s="1353">
        <f t="shared" si="11"/>
        <v>37500</v>
      </c>
      <c r="G124" s="1353">
        <v>37500</v>
      </c>
      <c r="H124" s="1353"/>
      <c r="I124" s="1353"/>
      <c r="J124" s="1354"/>
      <c r="K124" s="416"/>
    </row>
    <row r="125" spans="1:11" s="418" customFormat="1" ht="15" customHeight="1">
      <c r="A125" s="1772"/>
      <c r="B125" s="1774"/>
      <c r="C125" s="1804"/>
      <c r="D125" s="1806"/>
      <c r="E125" s="1355" t="s">
        <v>324</v>
      </c>
      <c r="F125" s="1347">
        <f>SUM(F126:F127)</f>
        <v>700000</v>
      </c>
      <c r="G125" s="1347">
        <f>SUM(G126:G127)</f>
        <v>105000</v>
      </c>
      <c r="H125" s="1347">
        <f>SUM(H126:H127)</f>
        <v>0</v>
      </c>
      <c r="I125" s="1347">
        <f>SUM(I126:I127)</f>
        <v>595000</v>
      </c>
      <c r="J125" s="1348">
        <f>SUM(J126:J127)</f>
        <v>0</v>
      </c>
      <c r="K125" s="416"/>
    </row>
    <row r="126" spans="1:11" s="418" customFormat="1" ht="15" customHeight="1">
      <c r="A126" s="1772"/>
      <c r="B126" s="1774"/>
      <c r="C126" s="1804"/>
      <c r="D126" s="1806"/>
      <c r="E126" s="1352" t="s">
        <v>382</v>
      </c>
      <c r="F126" s="1353">
        <f t="shared" ref="F126:F127" si="12">SUM(G126:J126)</f>
        <v>595000</v>
      </c>
      <c r="G126" s="1353"/>
      <c r="H126" s="1353"/>
      <c r="I126" s="1353">
        <v>595000</v>
      </c>
      <c r="J126" s="1354"/>
      <c r="K126" s="416"/>
    </row>
    <row r="127" spans="1:11" s="418" customFormat="1" ht="12.75" customHeight="1" thickBot="1">
      <c r="A127" s="1783"/>
      <c r="B127" s="1821"/>
      <c r="C127" s="1823"/>
      <c r="D127" s="1825"/>
      <c r="E127" s="1356">
        <v>6069</v>
      </c>
      <c r="F127" s="1357">
        <f t="shared" si="12"/>
        <v>105000</v>
      </c>
      <c r="G127" s="1357">
        <v>105000</v>
      </c>
      <c r="H127" s="1357"/>
      <c r="I127" s="1357"/>
      <c r="J127" s="1373"/>
      <c r="K127" s="416"/>
    </row>
    <row r="128" spans="1:11" s="418" customFormat="1" ht="22.5">
      <c r="A128" s="1782" t="s">
        <v>383</v>
      </c>
      <c r="B128" s="1833" t="s">
        <v>384</v>
      </c>
      <c r="C128" s="1822">
        <v>750</v>
      </c>
      <c r="D128" s="1824" t="s">
        <v>333</v>
      </c>
      <c r="E128" s="1361" t="s">
        <v>322</v>
      </c>
      <c r="F128" s="1362">
        <f>SUM(F129,F137)</f>
        <v>55504</v>
      </c>
      <c r="G128" s="1362">
        <f>SUM(G129,G137)</f>
        <v>8326</v>
      </c>
      <c r="H128" s="1362">
        <f>SUM(H129,H137)</f>
        <v>0</v>
      </c>
      <c r="I128" s="1362">
        <f>SUM(I129,I137)</f>
        <v>47178</v>
      </c>
      <c r="J128" s="1363">
        <f>SUM(J129,J137)</f>
        <v>0</v>
      </c>
      <c r="K128" s="416"/>
    </row>
    <row r="129" spans="1:226" s="418" customFormat="1" ht="21">
      <c r="A129" s="1772"/>
      <c r="B129" s="1774"/>
      <c r="C129" s="1804"/>
      <c r="D129" s="1806"/>
      <c r="E129" s="1346" t="s">
        <v>334</v>
      </c>
      <c r="F129" s="1347">
        <f>SUM(F130,F134)</f>
        <v>55504</v>
      </c>
      <c r="G129" s="1347">
        <f>SUM(G130,G134)</f>
        <v>8326</v>
      </c>
      <c r="H129" s="1347">
        <f>SUM(H130,H134)</f>
        <v>0</v>
      </c>
      <c r="I129" s="1347">
        <f>SUM(I130,I134)</f>
        <v>47178</v>
      </c>
      <c r="J129" s="1348">
        <f>SUM(J130,J134)</f>
        <v>0</v>
      </c>
      <c r="K129" s="416"/>
    </row>
    <row r="130" spans="1:226" s="418" customFormat="1" ht="24.95" hidden="1" customHeight="1">
      <c r="A130" s="1772"/>
      <c r="B130" s="1774"/>
      <c r="C130" s="1804"/>
      <c r="D130" s="1806"/>
      <c r="E130" s="1349" t="s">
        <v>335</v>
      </c>
      <c r="F130" s="1350">
        <f>SUM(F131:F133)</f>
        <v>0</v>
      </c>
      <c r="G130" s="1350">
        <f>SUM(G131:G133)</f>
        <v>0</v>
      </c>
      <c r="H130" s="1350">
        <f>SUM(H131:H133)</f>
        <v>0</v>
      </c>
      <c r="I130" s="1350">
        <f>SUM(I131:I133)</f>
        <v>0</v>
      </c>
      <c r="J130" s="1351">
        <f>SUM(J131:J133)</f>
        <v>0</v>
      </c>
      <c r="K130" s="416"/>
    </row>
    <row r="131" spans="1:226" s="418" customFormat="1" ht="15" hidden="1" customHeight="1">
      <c r="A131" s="1772"/>
      <c r="B131" s="1774"/>
      <c r="C131" s="1804"/>
      <c r="D131" s="1806"/>
      <c r="E131" s="1352"/>
      <c r="F131" s="1353">
        <f>SUM(G131:J131)</f>
        <v>0</v>
      </c>
      <c r="G131" s="1353"/>
      <c r="H131" s="1353"/>
      <c r="I131" s="1353"/>
      <c r="J131" s="1354"/>
      <c r="K131" s="416"/>
    </row>
    <row r="132" spans="1:226" s="418" customFormat="1" ht="15" hidden="1" customHeight="1">
      <c r="A132" s="1772"/>
      <c r="B132" s="1774"/>
      <c r="C132" s="1804"/>
      <c r="D132" s="1806"/>
      <c r="E132" s="1352"/>
      <c r="F132" s="1353">
        <f>SUM(G132:J132)</f>
        <v>0</v>
      </c>
      <c r="G132" s="1353"/>
      <c r="H132" s="1353"/>
      <c r="I132" s="1353"/>
      <c r="J132" s="1354"/>
      <c r="K132" s="416"/>
    </row>
    <row r="133" spans="1:226" s="418" customFormat="1" ht="15" hidden="1" customHeight="1">
      <c r="A133" s="1772"/>
      <c r="B133" s="1774"/>
      <c r="C133" s="1804"/>
      <c r="D133" s="1806"/>
      <c r="E133" s="1352"/>
      <c r="F133" s="1353">
        <f>SUM(G133:J133)</f>
        <v>0</v>
      </c>
      <c r="G133" s="1353"/>
      <c r="H133" s="1353"/>
      <c r="I133" s="1353"/>
      <c r="J133" s="1354"/>
      <c r="K133" s="416"/>
    </row>
    <row r="134" spans="1:226" s="418" customFormat="1" ht="21" customHeight="1">
      <c r="A134" s="1772"/>
      <c r="B134" s="1774"/>
      <c r="C134" s="1804"/>
      <c r="D134" s="1806"/>
      <c r="E134" s="1349" t="s">
        <v>340</v>
      </c>
      <c r="F134" s="1350">
        <f>SUM(F135:F136)</f>
        <v>55504</v>
      </c>
      <c r="G134" s="1350">
        <f>SUM(G135:G136)</f>
        <v>8326</v>
      </c>
      <c r="H134" s="1350">
        <f>SUM(H135:H136)</f>
        <v>0</v>
      </c>
      <c r="I134" s="1350">
        <f>SUM(I135:I136)</f>
        <v>47178</v>
      </c>
      <c r="J134" s="1351">
        <f>SUM(J135:J136)</f>
        <v>0</v>
      </c>
      <c r="K134" s="417"/>
      <c r="L134" s="417"/>
      <c r="M134" s="417"/>
      <c r="N134" s="417"/>
      <c r="O134" s="416"/>
      <c r="P134" s="416"/>
      <c r="Q134" s="416"/>
      <c r="R134" s="416"/>
      <c r="S134" s="416"/>
      <c r="T134" s="416"/>
      <c r="U134" s="416"/>
      <c r="V134" s="416"/>
      <c r="W134" s="416"/>
      <c r="X134" s="416"/>
      <c r="Y134" s="416"/>
      <c r="Z134" s="416"/>
      <c r="AA134" s="416"/>
      <c r="AB134" s="416"/>
      <c r="AC134" s="416"/>
      <c r="AD134" s="416"/>
      <c r="AE134" s="416"/>
      <c r="AF134" s="416"/>
      <c r="AG134" s="416"/>
      <c r="AH134" s="416"/>
      <c r="AI134" s="416"/>
      <c r="AJ134" s="416"/>
      <c r="AK134" s="416"/>
      <c r="AL134" s="416"/>
      <c r="AM134" s="416"/>
      <c r="AN134" s="416"/>
      <c r="AO134" s="416"/>
      <c r="AP134" s="416"/>
      <c r="AQ134" s="416"/>
      <c r="AR134" s="416"/>
      <c r="AS134" s="416"/>
      <c r="AT134" s="416"/>
      <c r="AU134" s="416"/>
      <c r="AV134" s="416"/>
      <c r="AW134" s="416"/>
      <c r="AX134" s="416"/>
      <c r="AY134" s="416"/>
      <c r="AZ134" s="416"/>
      <c r="BA134" s="416"/>
      <c r="BB134" s="416"/>
      <c r="BC134" s="416"/>
      <c r="BD134" s="416"/>
      <c r="BE134" s="416"/>
      <c r="BF134" s="416"/>
      <c r="BG134" s="416"/>
      <c r="BH134" s="416"/>
      <c r="BI134" s="416"/>
      <c r="BJ134" s="416"/>
      <c r="BK134" s="416"/>
      <c r="BL134" s="416"/>
      <c r="BM134" s="416"/>
      <c r="BN134" s="416"/>
      <c r="BO134" s="416"/>
      <c r="BP134" s="416"/>
      <c r="BQ134" s="416"/>
      <c r="BR134" s="416"/>
      <c r="BS134" s="416"/>
      <c r="BT134" s="416"/>
      <c r="BU134" s="416"/>
      <c r="BV134" s="416"/>
      <c r="BW134" s="416"/>
      <c r="BX134" s="416"/>
      <c r="BY134" s="416"/>
      <c r="BZ134" s="416"/>
      <c r="CA134" s="416"/>
      <c r="CB134" s="416"/>
      <c r="CC134" s="416"/>
      <c r="CD134" s="416"/>
      <c r="CE134" s="416"/>
      <c r="CF134" s="416"/>
      <c r="CG134" s="416"/>
      <c r="CH134" s="416"/>
      <c r="CI134" s="416"/>
      <c r="CJ134" s="416"/>
      <c r="CK134" s="416"/>
      <c r="CL134" s="416"/>
      <c r="CM134" s="416"/>
      <c r="CN134" s="416"/>
      <c r="CO134" s="416"/>
      <c r="CP134" s="416"/>
      <c r="CQ134" s="416"/>
      <c r="CR134" s="416"/>
      <c r="CS134" s="416"/>
      <c r="CT134" s="416"/>
      <c r="CU134" s="416"/>
      <c r="CV134" s="416"/>
      <c r="CW134" s="416"/>
      <c r="CX134" s="416"/>
      <c r="CY134" s="416"/>
      <c r="CZ134" s="416"/>
      <c r="DA134" s="416"/>
      <c r="DB134" s="416"/>
      <c r="DC134" s="416"/>
      <c r="DD134" s="416"/>
      <c r="DE134" s="416"/>
      <c r="DF134" s="416"/>
      <c r="DG134" s="416"/>
      <c r="DH134" s="416"/>
      <c r="DI134" s="416"/>
      <c r="DJ134" s="416"/>
      <c r="DK134" s="416"/>
      <c r="DL134" s="416"/>
      <c r="DM134" s="416"/>
      <c r="DN134" s="416"/>
      <c r="DO134" s="416"/>
      <c r="DP134" s="416"/>
      <c r="DQ134" s="416"/>
      <c r="DR134" s="416"/>
      <c r="DS134" s="416"/>
      <c r="DT134" s="416"/>
      <c r="DU134" s="416"/>
      <c r="DV134" s="416"/>
      <c r="DW134" s="416"/>
      <c r="DX134" s="416"/>
      <c r="DY134" s="416"/>
      <c r="DZ134" s="416"/>
      <c r="EA134" s="416"/>
      <c r="EB134" s="416"/>
      <c r="EC134" s="416"/>
      <c r="ED134" s="416"/>
      <c r="EE134" s="416"/>
      <c r="EF134" s="416"/>
      <c r="EG134" s="416"/>
      <c r="EH134" s="416"/>
      <c r="EI134" s="416"/>
      <c r="EJ134" s="416"/>
      <c r="EK134" s="416"/>
      <c r="EL134" s="416"/>
      <c r="EM134" s="416"/>
      <c r="EN134" s="416"/>
      <c r="EO134" s="416"/>
      <c r="EP134" s="416"/>
      <c r="EQ134" s="416"/>
      <c r="ER134" s="416"/>
      <c r="ES134" s="416"/>
      <c r="ET134" s="416"/>
      <c r="EU134" s="416"/>
      <c r="EV134" s="416"/>
      <c r="EW134" s="416"/>
      <c r="EX134" s="416"/>
      <c r="EY134" s="416"/>
      <c r="EZ134" s="416"/>
      <c r="FA134" s="416"/>
      <c r="FB134" s="416"/>
      <c r="FC134" s="416"/>
      <c r="FD134" s="416"/>
      <c r="FE134" s="416"/>
      <c r="FF134" s="416"/>
      <c r="FG134" s="416"/>
      <c r="FH134" s="416"/>
      <c r="FI134" s="416"/>
      <c r="FJ134" s="416"/>
      <c r="FK134" s="416"/>
      <c r="FL134" s="416"/>
      <c r="FM134" s="416"/>
      <c r="FN134" s="416"/>
      <c r="FO134" s="416"/>
      <c r="FP134" s="416"/>
      <c r="FQ134" s="416"/>
      <c r="FR134" s="416"/>
      <c r="FS134" s="416"/>
      <c r="FT134" s="416"/>
      <c r="FU134" s="416"/>
      <c r="FV134" s="416"/>
      <c r="FW134" s="416"/>
      <c r="FX134" s="416"/>
      <c r="FY134" s="416"/>
      <c r="FZ134" s="416"/>
      <c r="GA134" s="416"/>
      <c r="GB134" s="416"/>
      <c r="GC134" s="416"/>
      <c r="GD134" s="416"/>
      <c r="GE134" s="416"/>
      <c r="GF134" s="416"/>
      <c r="GG134" s="416"/>
      <c r="GH134" s="416"/>
      <c r="GI134" s="416"/>
      <c r="GJ134" s="416"/>
      <c r="GK134" s="416"/>
      <c r="GL134" s="416"/>
      <c r="GM134" s="416"/>
      <c r="GN134" s="416"/>
      <c r="GO134" s="416"/>
      <c r="GP134" s="416"/>
      <c r="GQ134" s="416"/>
      <c r="GR134" s="416"/>
      <c r="GS134" s="416"/>
      <c r="GT134" s="416"/>
      <c r="GU134" s="416"/>
      <c r="GV134" s="416"/>
      <c r="GW134" s="416"/>
      <c r="GX134" s="416"/>
      <c r="GY134" s="416"/>
      <c r="GZ134" s="416"/>
      <c r="HA134" s="416"/>
      <c r="HB134" s="416"/>
      <c r="HC134" s="416"/>
      <c r="HD134" s="416"/>
      <c r="HE134" s="416"/>
      <c r="HF134" s="416"/>
      <c r="HG134" s="416"/>
      <c r="HH134" s="416"/>
      <c r="HI134" s="416"/>
      <c r="HJ134" s="416"/>
      <c r="HK134" s="416"/>
      <c r="HL134" s="416"/>
      <c r="HM134" s="416"/>
      <c r="HN134" s="416"/>
      <c r="HO134" s="416"/>
      <c r="HP134" s="416"/>
      <c r="HQ134" s="416"/>
      <c r="HR134" s="416"/>
    </row>
    <row r="135" spans="1:226" s="418" customFormat="1" ht="15" customHeight="1">
      <c r="A135" s="1772"/>
      <c r="B135" s="1774"/>
      <c r="C135" s="1804"/>
      <c r="D135" s="1806"/>
      <c r="E135" s="1352" t="s">
        <v>343</v>
      </c>
      <c r="F135" s="1353">
        <f>SUM(G135:J135)</f>
        <v>47178</v>
      </c>
      <c r="G135" s="1353"/>
      <c r="H135" s="1353"/>
      <c r="I135" s="1353">
        <v>47178</v>
      </c>
      <c r="J135" s="1354"/>
      <c r="K135" s="417"/>
      <c r="L135" s="417"/>
      <c r="M135" s="417"/>
      <c r="N135" s="417"/>
    </row>
    <row r="136" spans="1:226" s="418" customFormat="1" ht="15" customHeight="1">
      <c r="A136" s="1772"/>
      <c r="B136" s="1774"/>
      <c r="C136" s="1804"/>
      <c r="D136" s="1806"/>
      <c r="E136" s="1352" t="s">
        <v>344</v>
      </c>
      <c r="F136" s="1353">
        <f>SUM(G136:J136)</f>
        <v>8326</v>
      </c>
      <c r="G136" s="1353">
        <v>8326</v>
      </c>
      <c r="H136" s="1353"/>
      <c r="I136" s="1353"/>
      <c r="J136" s="1354"/>
      <c r="K136" s="417"/>
      <c r="L136" s="417"/>
      <c r="M136" s="417"/>
      <c r="N136" s="417"/>
    </row>
    <row r="137" spans="1:226" s="418" customFormat="1" ht="16.5" customHeight="1">
      <c r="A137" s="1772"/>
      <c r="B137" s="1774"/>
      <c r="C137" s="1804"/>
      <c r="D137" s="1806"/>
      <c r="E137" s="1355" t="s">
        <v>324</v>
      </c>
      <c r="F137" s="1347">
        <f>SUM(F138:F140)</f>
        <v>0</v>
      </c>
      <c r="G137" s="1347">
        <f>SUM(G138:G140)</f>
        <v>0</v>
      </c>
      <c r="H137" s="1347">
        <f>SUM(H138:H140)</f>
        <v>0</v>
      </c>
      <c r="I137" s="1347">
        <f>SUM(I138:I140)</f>
        <v>0</v>
      </c>
      <c r="J137" s="1348">
        <f>SUM(J138:J140)</f>
        <v>0</v>
      </c>
      <c r="K137" s="416"/>
    </row>
    <row r="138" spans="1:226" s="418" customFormat="1" ht="15" hidden="1" customHeight="1">
      <c r="A138" s="1772"/>
      <c r="B138" s="1774"/>
      <c r="C138" s="1804"/>
      <c r="D138" s="1806"/>
      <c r="E138" s="1352"/>
      <c r="F138" s="1353">
        <f>SUM(G138:J138)</f>
        <v>0</v>
      </c>
      <c r="G138" s="1353"/>
      <c r="H138" s="1353"/>
      <c r="I138" s="1353"/>
      <c r="J138" s="1354"/>
      <c r="K138" s="416"/>
    </row>
    <row r="139" spans="1:226" s="418" customFormat="1" ht="15" hidden="1" customHeight="1">
      <c r="A139" s="1772"/>
      <c r="B139" s="1774"/>
      <c r="C139" s="1804"/>
      <c r="D139" s="1806"/>
      <c r="E139" s="1352"/>
      <c r="F139" s="1353">
        <f>SUM(G139:J139)</f>
        <v>0</v>
      </c>
      <c r="G139" s="1353"/>
      <c r="H139" s="1353"/>
      <c r="I139" s="1353"/>
      <c r="J139" s="1354"/>
      <c r="K139" s="416"/>
    </row>
    <row r="140" spans="1:226" s="418" customFormat="1" ht="15" hidden="1" customHeight="1">
      <c r="A140" s="1783"/>
      <c r="B140" s="1821"/>
      <c r="C140" s="1823"/>
      <c r="D140" s="1825"/>
      <c r="E140" s="1356"/>
      <c r="F140" s="1357">
        <f>SUM(G140:J140)</f>
        <v>0</v>
      </c>
      <c r="G140" s="1357"/>
      <c r="H140" s="1357"/>
      <c r="I140" s="1357"/>
      <c r="J140" s="1373"/>
      <c r="K140" s="416"/>
    </row>
    <row r="141" spans="1:226" s="418" customFormat="1" ht="19.5" customHeight="1">
      <c r="A141" s="1829" t="s">
        <v>385</v>
      </c>
      <c r="B141" s="1830" t="s">
        <v>386</v>
      </c>
      <c r="C141" s="1831">
        <v>750</v>
      </c>
      <c r="D141" s="1832" t="s">
        <v>333</v>
      </c>
      <c r="E141" s="1340" t="s">
        <v>322</v>
      </c>
      <c r="F141" s="1341">
        <f>SUM(F142,F151)</f>
        <v>300000</v>
      </c>
      <c r="G141" s="1341">
        <f>SUM(G142,G151)</f>
        <v>45000</v>
      </c>
      <c r="H141" s="1341">
        <f>SUM(H142,H151)</f>
        <v>0</v>
      </c>
      <c r="I141" s="1341">
        <f>SUM(I142,I151)</f>
        <v>255000</v>
      </c>
      <c r="J141" s="1342">
        <f>SUM(J142,J151)</f>
        <v>0</v>
      </c>
      <c r="K141" s="416"/>
    </row>
    <row r="142" spans="1:226" s="418" customFormat="1" ht="21.75" customHeight="1">
      <c r="A142" s="1772"/>
      <c r="B142" s="1774"/>
      <c r="C142" s="1804"/>
      <c r="D142" s="1806"/>
      <c r="E142" s="1346" t="s">
        <v>334</v>
      </c>
      <c r="F142" s="1347">
        <f>SUM(F143,F146)</f>
        <v>300000</v>
      </c>
      <c r="G142" s="1347">
        <f>SUM(G143,G146)</f>
        <v>45000</v>
      </c>
      <c r="H142" s="1347">
        <f>SUM(H143,H146)</f>
        <v>0</v>
      </c>
      <c r="I142" s="1347">
        <f>SUM(I143,I146)</f>
        <v>255000</v>
      </c>
      <c r="J142" s="1348">
        <f>SUM(J143,J146)</f>
        <v>0</v>
      </c>
      <c r="K142" s="416"/>
    </row>
    <row r="143" spans="1:226" s="418" customFormat="1" ht="21" customHeight="1">
      <c r="A143" s="1772"/>
      <c r="B143" s="1774"/>
      <c r="C143" s="1804"/>
      <c r="D143" s="1806"/>
      <c r="E143" s="1349" t="s">
        <v>335</v>
      </c>
      <c r="F143" s="1350">
        <f>SUM(F144:F145)</f>
        <v>75000</v>
      </c>
      <c r="G143" s="1350">
        <f>SUM(G144:G145)</f>
        <v>11250</v>
      </c>
      <c r="H143" s="1350">
        <f>SUM(H144:H145)</f>
        <v>0</v>
      </c>
      <c r="I143" s="1350">
        <f>SUM(I144:I145)</f>
        <v>63750</v>
      </c>
      <c r="J143" s="1351">
        <f>SUM(J144:J145)</f>
        <v>0</v>
      </c>
      <c r="K143" s="417"/>
    </row>
    <row r="144" spans="1:226" s="418" customFormat="1" ht="15" customHeight="1">
      <c r="A144" s="1772"/>
      <c r="B144" s="1774"/>
      <c r="C144" s="1804"/>
      <c r="D144" s="1806"/>
      <c r="E144" s="1352" t="s">
        <v>338</v>
      </c>
      <c r="F144" s="1353">
        <f>SUM(G144:J144)</f>
        <v>63750</v>
      </c>
      <c r="G144" s="1353"/>
      <c r="H144" s="1353"/>
      <c r="I144" s="1353">
        <v>63750</v>
      </c>
      <c r="J144" s="1354"/>
      <c r="K144" s="416"/>
    </row>
    <row r="145" spans="1:226" s="418" customFormat="1" ht="15" customHeight="1">
      <c r="A145" s="1772"/>
      <c r="B145" s="1774"/>
      <c r="C145" s="1804"/>
      <c r="D145" s="1806"/>
      <c r="E145" s="1352" t="s">
        <v>339</v>
      </c>
      <c r="F145" s="1353">
        <f>SUM(G145:J145)</f>
        <v>11250</v>
      </c>
      <c r="G145" s="1353">
        <v>11250</v>
      </c>
      <c r="H145" s="1353"/>
      <c r="I145" s="1353"/>
      <c r="J145" s="1354"/>
      <c r="K145" s="416"/>
    </row>
    <row r="146" spans="1:226" s="418" customFormat="1" ht="21.75" customHeight="1">
      <c r="A146" s="1772"/>
      <c r="B146" s="1774"/>
      <c r="C146" s="1804"/>
      <c r="D146" s="1806"/>
      <c r="E146" s="1349" t="s">
        <v>340</v>
      </c>
      <c r="F146" s="1350">
        <f>SUM(F147:F150)</f>
        <v>225000</v>
      </c>
      <c r="G146" s="1350">
        <f>SUM(G147:G150)</f>
        <v>33750</v>
      </c>
      <c r="H146" s="1350">
        <f>SUM(H147:H150)</f>
        <v>0</v>
      </c>
      <c r="I146" s="1350">
        <f>SUM(I147:I150)</f>
        <v>191250</v>
      </c>
      <c r="J146" s="1351">
        <f>SUM(J147:J150)</f>
        <v>0</v>
      </c>
      <c r="K146" s="416"/>
      <c r="L146" s="416"/>
      <c r="M146" s="416"/>
      <c r="N146" s="416"/>
      <c r="O146" s="416"/>
      <c r="P146" s="416"/>
      <c r="Q146" s="416"/>
      <c r="R146" s="416"/>
      <c r="S146" s="416"/>
      <c r="T146" s="416"/>
      <c r="U146" s="416"/>
      <c r="V146" s="416"/>
      <c r="W146" s="416"/>
      <c r="X146" s="416"/>
      <c r="Y146" s="416"/>
      <c r="Z146" s="416"/>
      <c r="AA146" s="416"/>
      <c r="AB146" s="416"/>
      <c r="AC146" s="416"/>
      <c r="AD146" s="416"/>
      <c r="AE146" s="416"/>
      <c r="AF146" s="416"/>
      <c r="AG146" s="416"/>
      <c r="AH146" s="416"/>
      <c r="AI146" s="416"/>
      <c r="AJ146" s="416"/>
      <c r="AK146" s="416"/>
      <c r="AL146" s="416"/>
      <c r="AM146" s="416"/>
      <c r="AN146" s="416"/>
      <c r="AO146" s="416"/>
      <c r="AP146" s="416"/>
      <c r="AQ146" s="416"/>
      <c r="AR146" s="416"/>
      <c r="AS146" s="416"/>
      <c r="AT146" s="416"/>
      <c r="AU146" s="416"/>
      <c r="AV146" s="416"/>
      <c r="AW146" s="416"/>
      <c r="AX146" s="416"/>
      <c r="AY146" s="416"/>
      <c r="AZ146" s="416"/>
      <c r="BA146" s="416"/>
      <c r="BB146" s="416"/>
      <c r="BC146" s="416"/>
      <c r="BD146" s="416"/>
      <c r="BE146" s="416"/>
      <c r="BF146" s="416"/>
      <c r="BG146" s="416"/>
      <c r="BH146" s="416"/>
      <c r="BI146" s="416"/>
      <c r="BJ146" s="416"/>
      <c r="BK146" s="416"/>
      <c r="BL146" s="416"/>
      <c r="BM146" s="416"/>
      <c r="BN146" s="416"/>
      <c r="BO146" s="416"/>
      <c r="BP146" s="416"/>
      <c r="BQ146" s="416"/>
      <c r="BR146" s="416"/>
      <c r="BS146" s="416"/>
      <c r="BT146" s="416"/>
      <c r="BU146" s="416"/>
      <c r="BV146" s="416"/>
      <c r="BW146" s="416"/>
      <c r="BX146" s="416"/>
      <c r="BY146" s="416"/>
      <c r="BZ146" s="416"/>
      <c r="CA146" s="416"/>
      <c r="CB146" s="416"/>
      <c r="CC146" s="416"/>
      <c r="CD146" s="416"/>
      <c r="CE146" s="416"/>
      <c r="CF146" s="416"/>
      <c r="CG146" s="416"/>
      <c r="CH146" s="416"/>
      <c r="CI146" s="416"/>
      <c r="CJ146" s="416"/>
      <c r="CK146" s="416"/>
      <c r="CL146" s="416"/>
      <c r="CM146" s="416"/>
      <c r="CN146" s="416"/>
      <c r="CO146" s="416"/>
      <c r="CP146" s="416"/>
      <c r="CQ146" s="416"/>
      <c r="CR146" s="416"/>
      <c r="CS146" s="416"/>
      <c r="CT146" s="416"/>
      <c r="CU146" s="416"/>
      <c r="CV146" s="416"/>
      <c r="CW146" s="416"/>
      <c r="CX146" s="416"/>
      <c r="CY146" s="416"/>
      <c r="CZ146" s="416"/>
      <c r="DA146" s="416"/>
      <c r="DB146" s="416"/>
      <c r="DC146" s="416"/>
      <c r="DD146" s="416"/>
      <c r="DE146" s="416"/>
      <c r="DF146" s="416"/>
      <c r="DG146" s="416"/>
      <c r="DH146" s="416"/>
      <c r="DI146" s="416"/>
      <c r="DJ146" s="416"/>
      <c r="DK146" s="416"/>
      <c r="DL146" s="416"/>
      <c r="DM146" s="416"/>
      <c r="DN146" s="416"/>
      <c r="DO146" s="416"/>
      <c r="DP146" s="416"/>
      <c r="DQ146" s="416"/>
      <c r="DR146" s="416"/>
      <c r="DS146" s="416"/>
      <c r="DT146" s="416"/>
      <c r="DU146" s="416"/>
      <c r="DV146" s="416"/>
      <c r="DW146" s="416"/>
      <c r="DX146" s="416"/>
      <c r="DY146" s="416"/>
      <c r="DZ146" s="416"/>
      <c r="EA146" s="416"/>
      <c r="EB146" s="416"/>
      <c r="EC146" s="416"/>
      <c r="ED146" s="416"/>
      <c r="EE146" s="416"/>
      <c r="EF146" s="416"/>
      <c r="EG146" s="416"/>
      <c r="EH146" s="416"/>
      <c r="EI146" s="416"/>
      <c r="EJ146" s="416"/>
      <c r="EK146" s="416"/>
      <c r="EL146" s="416"/>
      <c r="EM146" s="416"/>
      <c r="EN146" s="416"/>
      <c r="EO146" s="416"/>
      <c r="EP146" s="416"/>
      <c r="EQ146" s="416"/>
      <c r="ER146" s="416"/>
      <c r="ES146" s="416"/>
      <c r="ET146" s="416"/>
      <c r="EU146" s="416"/>
      <c r="EV146" s="416"/>
      <c r="EW146" s="416"/>
      <c r="EX146" s="416"/>
      <c r="EY146" s="416"/>
      <c r="EZ146" s="416"/>
      <c r="FA146" s="416"/>
      <c r="FB146" s="416"/>
      <c r="FC146" s="416"/>
      <c r="FD146" s="416"/>
      <c r="FE146" s="416"/>
      <c r="FF146" s="416"/>
      <c r="FG146" s="416"/>
      <c r="FH146" s="416"/>
      <c r="FI146" s="416"/>
      <c r="FJ146" s="416"/>
      <c r="FK146" s="416"/>
      <c r="FL146" s="416"/>
      <c r="FM146" s="416"/>
      <c r="FN146" s="416"/>
      <c r="FO146" s="416"/>
      <c r="FP146" s="416"/>
      <c r="FQ146" s="416"/>
      <c r="FR146" s="416"/>
      <c r="FS146" s="416"/>
      <c r="FT146" s="416"/>
      <c r="FU146" s="416"/>
      <c r="FV146" s="416"/>
      <c r="FW146" s="416"/>
      <c r="FX146" s="416"/>
      <c r="FY146" s="416"/>
      <c r="FZ146" s="416"/>
      <c r="GA146" s="416"/>
      <c r="GB146" s="416"/>
      <c r="GC146" s="416"/>
      <c r="GD146" s="416"/>
      <c r="GE146" s="416"/>
      <c r="GF146" s="416"/>
      <c r="GG146" s="416"/>
      <c r="GH146" s="416"/>
      <c r="GI146" s="416"/>
      <c r="GJ146" s="416"/>
      <c r="GK146" s="416"/>
      <c r="GL146" s="416"/>
      <c r="GM146" s="416"/>
      <c r="GN146" s="416"/>
      <c r="GO146" s="416"/>
      <c r="GP146" s="416"/>
      <c r="GQ146" s="416"/>
      <c r="GR146" s="416"/>
      <c r="GS146" s="416"/>
      <c r="GT146" s="416"/>
      <c r="GU146" s="416"/>
      <c r="GV146" s="416"/>
      <c r="GW146" s="416"/>
      <c r="GX146" s="416"/>
      <c r="GY146" s="416"/>
      <c r="GZ146" s="416"/>
      <c r="HA146" s="416"/>
      <c r="HB146" s="416"/>
      <c r="HC146" s="416"/>
      <c r="HD146" s="416"/>
      <c r="HE146" s="416"/>
      <c r="HF146" s="416"/>
      <c r="HG146" s="416"/>
      <c r="HH146" s="416"/>
      <c r="HI146" s="416"/>
      <c r="HJ146" s="416"/>
      <c r="HK146" s="416"/>
      <c r="HL146" s="416"/>
      <c r="HM146" s="416"/>
      <c r="HN146" s="416"/>
      <c r="HO146" s="416"/>
      <c r="HP146" s="416"/>
      <c r="HQ146" s="416"/>
      <c r="HR146" s="416"/>
    </row>
    <row r="147" spans="1:226" s="418" customFormat="1" ht="15" customHeight="1">
      <c r="A147" s="1772"/>
      <c r="B147" s="1774"/>
      <c r="C147" s="1804"/>
      <c r="D147" s="1806"/>
      <c r="E147" s="1352" t="s">
        <v>343</v>
      </c>
      <c r="F147" s="1353">
        <f>SUM(G147:J147)</f>
        <v>17000</v>
      </c>
      <c r="G147" s="1353"/>
      <c r="H147" s="1353"/>
      <c r="I147" s="1353">
        <v>17000</v>
      </c>
      <c r="J147" s="1354"/>
      <c r="K147" s="416"/>
    </row>
    <row r="148" spans="1:226" s="418" customFormat="1" ht="15" customHeight="1">
      <c r="A148" s="1772"/>
      <c r="B148" s="1774"/>
      <c r="C148" s="1804"/>
      <c r="D148" s="1806"/>
      <c r="E148" s="1352" t="s">
        <v>344</v>
      </c>
      <c r="F148" s="1353">
        <f>SUM(G148:J148)</f>
        <v>3000</v>
      </c>
      <c r="G148" s="1353">
        <v>3000</v>
      </c>
      <c r="H148" s="1353"/>
      <c r="I148" s="1353"/>
      <c r="J148" s="1354"/>
      <c r="K148" s="416"/>
    </row>
    <row r="149" spans="1:226" s="418" customFormat="1" ht="15" customHeight="1">
      <c r="A149" s="1772"/>
      <c r="B149" s="1774"/>
      <c r="C149" s="1804"/>
      <c r="D149" s="1806"/>
      <c r="E149" s="1352" t="s">
        <v>352</v>
      </c>
      <c r="F149" s="1353">
        <f>SUM(G149:J149)</f>
        <v>174250</v>
      </c>
      <c r="G149" s="1353"/>
      <c r="H149" s="1353"/>
      <c r="I149" s="1353">
        <v>174250</v>
      </c>
      <c r="J149" s="1354"/>
      <c r="K149" s="416"/>
    </row>
    <row r="150" spans="1:226" s="418" customFormat="1" ht="15" customHeight="1">
      <c r="A150" s="1772"/>
      <c r="B150" s="1774"/>
      <c r="C150" s="1804"/>
      <c r="D150" s="1806"/>
      <c r="E150" s="1352" t="s">
        <v>353</v>
      </c>
      <c r="F150" s="1353">
        <f>SUM(G150:J150)</f>
        <v>30750</v>
      </c>
      <c r="G150" s="1353">
        <v>30750</v>
      </c>
      <c r="H150" s="1353"/>
      <c r="I150" s="1353"/>
      <c r="J150" s="1354"/>
      <c r="K150" s="416"/>
    </row>
    <row r="151" spans="1:226" s="418" customFormat="1" ht="15" customHeight="1" thickBot="1">
      <c r="A151" s="1772"/>
      <c r="B151" s="1774"/>
      <c r="C151" s="1804"/>
      <c r="D151" s="1806"/>
      <c r="E151" s="1355" t="s">
        <v>324</v>
      </c>
      <c r="F151" s="1347">
        <f>SUM(F152:F153)</f>
        <v>0</v>
      </c>
      <c r="G151" s="1347">
        <f>SUM(G152:G153)</f>
        <v>0</v>
      </c>
      <c r="H151" s="1347">
        <f>SUM(H152:H153)</f>
        <v>0</v>
      </c>
      <c r="I151" s="1347">
        <f>SUM(I152:I153)</f>
        <v>0</v>
      </c>
      <c r="J151" s="1348">
        <f>SUM(J152:J153)</f>
        <v>0</v>
      </c>
      <c r="K151" s="416"/>
    </row>
    <row r="152" spans="1:226" s="418" customFormat="1" ht="15" hidden="1" customHeight="1">
      <c r="A152" s="1772"/>
      <c r="B152" s="1774"/>
      <c r="C152" s="1804"/>
      <c r="D152" s="1806"/>
      <c r="E152" s="1352"/>
      <c r="F152" s="1353">
        <f>SUM(G152:J152)</f>
        <v>0</v>
      </c>
      <c r="G152" s="1353"/>
      <c r="H152" s="1353"/>
      <c r="I152" s="1353"/>
      <c r="J152" s="1354"/>
      <c r="K152" s="416"/>
    </row>
    <row r="153" spans="1:226" s="418" customFormat="1" ht="15" hidden="1" customHeight="1">
      <c r="A153" s="1773"/>
      <c r="B153" s="1775"/>
      <c r="C153" s="1805"/>
      <c r="D153" s="1807"/>
      <c r="E153" s="1358"/>
      <c r="F153" s="1359">
        <f>SUM(G153:J153)</f>
        <v>0</v>
      </c>
      <c r="G153" s="1359"/>
      <c r="H153" s="1359"/>
      <c r="I153" s="1359"/>
      <c r="J153" s="1360"/>
      <c r="K153" s="416"/>
    </row>
    <row r="154" spans="1:226" s="418" customFormat="1" ht="22.5">
      <c r="A154" s="1808" t="s">
        <v>387</v>
      </c>
      <c r="B154" s="1826" t="s">
        <v>388</v>
      </c>
      <c r="C154" s="1814">
        <v>150</v>
      </c>
      <c r="D154" s="1817" t="s">
        <v>325</v>
      </c>
      <c r="E154" s="1361" t="s">
        <v>322</v>
      </c>
      <c r="F154" s="1362">
        <f>SUM(F155,F167)</f>
        <v>8660000</v>
      </c>
      <c r="G154" s="1362">
        <f>SUM(G155,G167)</f>
        <v>0</v>
      </c>
      <c r="H154" s="1362">
        <f>SUM(H155,H167)</f>
        <v>8660000</v>
      </c>
      <c r="I154" s="1362">
        <f>SUM(I155,I167)</f>
        <v>0</v>
      </c>
      <c r="J154" s="1363">
        <f>SUM(J155,J167)</f>
        <v>0</v>
      </c>
      <c r="K154" s="416"/>
    </row>
    <row r="155" spans="1:226" s="418" customFormat="1" ht="21">
      <c r="A155" s="1809"/>
      <c r="B155" s="1827"/>
      <c r="C155" s="1815"/>
      <c r="D155" s="1818"/>
      <c r="E155" s="1346" t="s">
        <v>334</v>
      </c>
      <c r="F155" s="1347">
        <f>SUM(F156,F159,F163)</f>
        <v>8619000</v>
      </c>
      <c r="G155" s="1347">
        <f>SUM(G156,G159,G163)</f>
        <v>0</v>
      </c>
      <c r="H155" s="1347">
        <f>SUM(H156,H159,H163)</f>
        <v>8619000</v>
      </c>
      <c r="I155" s="1347">
        <f>SUM(I156,I159,I163)</f>
        <v>0</v>
      </c>
      <c r="J155" s="1348">
        <f>SUM(J156,J159,J163)</f>
        <v>0</v>
      </c>
      <c r="K155" s="416"/>
    </row>
    <row r="156" spans="1:226" s="418" customFormat="1" ht="18" customHeight="1">
      <c r="A156" s="1809"/>
      <c r="B156" s="1827"/>
      <c r="C156" s="1815"/>
      <c r="D156" s="1818"/>
      <c r="E156" s="1349" t="s">
        <v>389</v>
      </c>
      <c r="F156" s="1350">
        <f>SUM(F157:F158)</f>
        <v>8216400</v>
      </c>
      <c r="G156" s="1350">
        <f>SUM(G157:G158)</f>
        <v>0</v>
      </c>
      <c r="H156" s="1350">
        <f>SUM(H157:H158)</f>
        <v>8216400</v>
      </c>
      <c r="I156" s="1350">
        <f>SUM(I157:I158)</f>
        <v>0</v>
      </c>
      <c r="J156" s="1351">
        <f>SUM(J157:J158)</f>
        <v>0</v>
      </c>
      <c r="K156" s="416"/>
    </row>
    <row r="157" spans="1:226" s="418" customFormat="1" ht="15" customHeight="1">
      <c r="A157" s="1809"/>
      <c r="B157" s="1827"/>
      <c r="C157" s="1815"/>
      <c r="D157" s="1818"/>
      <c r="E157" s="1352" t="s">
        <v>390</v>
      </c>
      <c r="F157" s="1353">
        <f>SUM(G157:J157)</f>
        <v>8216400</v>
      </c>
      <c r="G157" s="1353"/>
      <c r="H157" s="1353">
        <v>8216400</v>
      </c>
      <c r="I157" s="1353"/>
      <c r="J157" s="1354"/>
      <c r="K157" s="416"/>
    </row>
    <row r="158" spans="1:226" s="418" customFormat="1" ht="15" hidden="1" customHeight="1">
      <c r="A158" s="1809"/>
      <c r="B158" s="1827"/>
      <c r="C158" s="1815"/>
      <c r="D158" s="1818"/>
      <c r="E158" s="1352"/>
      <c r="F158" s="1353">
        <f>SUM(G158:J158)</f>
        <v>0</v>
      </c>
      <c r="G158" s="1353"/>
      <c r="H158" s="1353"/>
      <c r="I158" s="1353"/>
      <c r="J158" s="1354"/>
      <c r="K158" s="416"/>
    </row>
    <row r="159" spans="1:226" s="418" customFormat="1" ht="22.5">
      <c r="A159" s="1809"/>
      <c r="B159" s="1827"/>
      <c r="C159" s="1815"/>
      <c r="D159" s="1818"/>
      <c r="E159" s="1349" t="s">
        <v>335</v>
      </c>
      <c r="F159" s="1350">
        <f>SUM(F160:F162)</f>
        <v>158400</v>
      </c>
      <c r="G159" s="1350">
        <f>SUM(G160:G162)</f>
        <v>0</v>
      </c>
      <c r="H159" s="1350">
        <f>SUM(H160:H162)</f>
        <v>158400</v>
      </c>
      <c r="I159" s="1350">
        <f>SUM(I160:I162)</f>
        <v>0</v>
      </c>
      <c r="J159" s="1351">
        <f>SUM(J160:J162)</f>
        <v>0</v>
      </c>
      <c r="K159" s="416"/>
    </row>
    <row r="160" spans="1:226" s="418" customFormat="1" ht="15" customHeight="1">
      <c r="A160" s="1809"/>
      <c r="B160" s="1827"/>
      <c r="C160" s="1815"/>
      <c r="D160" s="1818"/>
      <c r="E160" s="1352" t="s">
        <v>391</v>
      </c>
      <c r="F160" s="1353">
        <f>SUM(G160:J160)</f>
        <v>132187</v>
      </c>
      <c r="G160" s="1353"/>
      <c r="H160" s="1353">
        <v>132187</v>
      </c>
      <c r="I160" s="1353"/>
      <c r="J160" s="1354"/>
      <c r="K160" s="416"/>
    </row>
    <row r="161" spans="1:226" s="418" customFormat="1" ht="15" customHeight="1">
      <c r="A161" s="1809"/>
      <c r="B161" s="1827"/>
      <c r="C161" s="1815"/>
      <c r="D161" s="1818"/>
      <c r="E161" s="1352" t="s">
        <v>392</v>
      </c>
      <c r="F161" s="1353">
        <f t="shared" ref="F161:F162" si="13">SUM(G161:J161)</f>
        <v>22974</v>
      </c>
      <c r="G161" s="1353"/>
      <c r="H161" s="1353">
        <v>22974</v>
      </c>
      <c r="I161" s="1353"/>
      <c r="J161" s="1354"/>
      <c r="K161" s="416"/>
    </row>
    <row r="162" spans="1:226" s="418" customFormat="1" ht="15" customHeight="1">
      <c r="A162" s="1809"/>
      <c r="B162" s="1827"/>
      <c r="C162" s="1815"/>
      <c r="D162" s="1818"/>
      <c r="E162" s="1352" t="s">
        <v>393</v>
      </c>
      <c r="F162" s="1353">
        <f t="shared" si="13"/>
        <v>3239</v>
      </c>
      <c r="G162" s="1353"/>
      <c r="H162" s="1353">
        <v>3239</v>
      </c>
      <c r="I162" s="1353"/>
      <c r="J162" s="1354"/>
      <c r="K162" s="416"/>
    </row>
    <row r="163" spans="1:226" s="418" customFormat="1" ht="22.5">
      <c r="A163" s="1809"/>
      <c r="B163" s="1827"/>
      <c r="C163" s="1815"/>
      <c r="D163" s="1818"/>
      <c r="E163" s="1349" t="s">
        <v>340</v>
      </c>
      <c r="F163" s="1350">
        <f>SUM(F164:F166)</f>
        <v>244200</v>
      </c>
      <c r="G163" s="1350">
        <f>SUM(G164:G166)</f>
        <v>0</v>
      </c>
      <c r="H163" s="1350">
        <f>SUM(H164:H166)</f>
        <v>244200</v>
      </c>
      <c r="I163" s="1350">
        <f>SUM(I164:I166)</f>
        <v>0</v>
      </c>
      <c r="J163" s="1351">
        <f>SUM(J164:J166)</f>
        <v>0</v>
      </c>
      <c r="K163" s="416"/>
      <c r="L163" s="416"/>
      <c r="M163" s="416"/>
      <c r="N163" s="416"/>
      <c r="O163" s="416"/>
      <c r="P163" s="416"/>
      <c r="Q163" s="416"/>
      <c r="R163" s="416"/>
      <c r="S163" s="416"/>
      <c r="T163" s="416"/>
      <c r="U163" s="416"/>
      <c r="V163" s="416"/>
      <c r="W163" s="416"/>
      <c r="X163" s="416"/>
      <c r="Y163" s="416"/>
      <c r="Z163" s="416"/>
      <c r="AA163" s="416"/>
      <c r="AB163" s="416"/>
      <c r="AC163" s="416"/>
      <c r="AD163" s="416"/>
      <c r="AE163" s="416"/>
      <c r="AF163" s="416"/>
      <c r="AG163" s="416"/>
      <c r="AH163" s="416"/>
      <c r="AI163" s="416"/>
      <c r="AJ163" s="416"/>
      <c r="AK163" s="416"/>
      <c r="AL163" s="416"/>
      <c r="AM163" s="416"/>
      <c r="AN163" s="416"/>
      <c r="AO163" s="416"/>
      <c r="AP163" s="416"/>
      <c r="AQ163" s="416"/>
      <c r="AR163" s="416"/>
      <c r="AS163" s="416"/>
      <c r="AT163" s="416"/>
      <c r="AU163" s="416"/>
      <c r="AV163" s="416"/>
      <c r="AW163" s="416"/>
      <c r="AX163" s="416"/>
      <c r="AY163" s="416"/>
      <c r="AZ163" s="416"/>
      <c r="BA163" s="416"/>
      <c r="BB163" s="416"/>
      <c r="BC163" s="416"/>
      <c r="BD163" s="416"/>
      <c r="BE163" s="416"/>
      <c r="BF163" s="416"/>
      <c r="BG163" s="416"/>
      <c r="BH163" s="416"/>
      <c r="BI163" s="416"/>
      <c r="BJ163" s="416"/>
      <c r="BK163" s="416"/>
      <c r="BL163" s="416"/>
      <c r="BM163" s="416"/>
      <c r="BN163" s="416"/>
      <c r="BO163" s="416"/>
      <c r="BP163" s="416"/>
      <c r="BQ163" s="416"/>
      <c r="BR163" s="416"/>
      <c r="BS163" s="416"/>
      <c r="BT163" s="416"/>
      <c r="BU163" s="416"/>
      <c r="BV163" s="416"/>
      <c r="BW163" s="416"/>
      <c r="BX163" s="416"/>
      <c r="BY163" s="416"/>
      <c r="BZ163" s="416"/>
      <c r="CA163" s="416"/>
      <c r="CB163" s="416"/>
      <c r="CC163" s="416"/>
      <c r="CD163" s="416"/>
      <c r="CE163" s="416"/>
      <c r="CF163" s="416"/>
      <c r="CG163" s="416"/>
      <c r="CH163" s="416"/>
      <c r="CI163" s="416"/>
      <c r="CJ163" s="416"/>
      <c r="CK163" s="416"/>
      <c r="CL163" s="416"/>
      <c r="CM163" s="416"/>
      <c r="CN163" s="416"/>
      <c r="CO163" s="416"/>
      <c r="CP163" s="416"/>
      <c r="CQ163" s="416"/>
      <c r="CR163" s="416"/>
      <c r="CS163" s="416"/>
      <c r="CT163" s="416"/>
      <c r="CU163" s="416"/>
      <c r="CV163" s="416"/>
      <c r="CW163" s="416"/>
      <c r="CX163" s="416"/>
      <c r="CY163" s="416"/>
      <c r="CZ163" s="416"/>
      <c r="DA163" s="416"/>
      <c r="DB163" s="416"/>
      <c r="DC163" s="416"/>
      <c r="DD163" s="416"/>
      <c r="DE163" s="416"/>
      <c r="DF163" s="416"/>
      <c r="DG163" s="416"/>
      <c r="DH163" s="416"/>
      <c r="DI163" s="416"/>
      <c r="DJ163" s="416"/>
      <c r="DK163" s="416"/>
      <c r="DL163" s="416"/>
      <c r="DM163" s="416"/>
      <c r="DN163" s="416"/>
      <c r="DO163" s="416"/>
      <c r="DP163" s="416"/>
      <c r="DQ163" s="416"/>
      <c r="DR163" s="416"/>
      <c r="DS163" s="416"/>
      <c r="DT163" s="416"/>
      <c r="DU163" s="416"/>
      <c r="DV163" s="416"/>
      <c r="DW163" s="416"/>
      <c r="DX163" s="416"/>
      <c r="DY163" s="416"/>
      <c r="DZ163" s="416"/>
      <c r="EA163" s="416"/>
      <c r="EB163" s="416"/>
      <c r="EC163" s="416"/>
      <c r="ED163" s="416"/>
      <c r="EE163" s="416"/>
      <c r="EF163" s="416"/>
      <c r="EG163" s="416"/>
      <c r="EH163" s="416"/>
      <c r="EI163" s="416"/>
      <c r="EJ163" s="416"/>
      <c r="EK163" s="416"/>
      <c r="EL163" s="416"/>
      <c r="EM163" s="416"/>
      <c r="EN163" s="416"/>
      <c r="EO163" s="416"/>
      <c r="EP163" s="416"/>
      <c r="EQ163" s="416"/>
      <c r="ER163" s="416"/>
      <c r="ES163" s="416"/>
      <c r="ET163" s="416"/>
      <c r="EU163" s="416"/>
      <c r="EV163" s="416"/>
      <c r="EW163" s="416"/>
      <c r="EX163" s="416"/>
      <c r="EY163" s="416"/>
      <c r="EZ163" s="416"/>
      <c r="FA163" s="416"/>
      <c r="FB163" s="416"/>
      <c r="FC163" s="416"/>
      <c r="FD163" s="416"/>
      <c r="FE163" s="416"/>
      <c r="FF163" s="416"/>
      <c r="FG163" s="416"/>
      <c r="FH163" s="416"/>
      <c r="FI163" s="416"/>
      <c r="FJ163" s="416"/>
      <c r="FK163" s="416"/>
      <c r="FL163" s="416"/>
      <c r="FM163" s="416"/>
      <c r="FN163" s="416"/>
      <c r="FO163" s="416"/>
      <c r="FP163" s="416"/>
      <c r="FQ163" s="416"/>
      <c r="FR163" s="416"/>
      <c r="FS163" s="416"/>
      <c r="FT163" s="416"/>
      <c r="FU163" s="416"/>
      <c r="FV163" s="416"/>
      <c r="FW163" s="416"/>
      <c r="FX163" s="416"/>
      <c r="FY163" s="416"/>
      <c r="FZ163" s="416"/>
      <c r="GA163" s="416"/>
      <c r="GB163" s="416"/>
      <c r="GC163" s="416"/>
      <c r="GD163" s="416"/>
      <c r="GE163" s="416"/>
      <c r="GF163" s="416"/>
      <c r="GG163" s="416"/>
      <c r="GH163" s="416"/>
      <c r="GI163" s="416"/>
      <c r="GJ163" s="416"/>
      <c r="GK163" s="416"/>
      <c r="GL163" s="416"/>
      <c r="GM163" s="416"/>
      <c r="GN163" s="416"/>
      <c r="GO163" s="416"/>
      <c r="GP163" s="416"/>
      <c r="GQ163" s="416"/>
      <c r="GR163" s="416"/>
      <c r="GS163" s="416"/>
      <c r="GT163" s="416"/>
      <c r="GU163" s="416"/>
      <c r="GV163" s="416"/>
      <c r="GW163" s="416"/>
      <c r="GX163" s="416"/>
      <c r="GY163" s="416"/>
      <c r="GZ163" s="416"/>
      <c r="HA163" s="416"/>
      <c r="HB163" s="416"/>
      <c r="HC163" s="416"/>
      <c r="HD163" s="416"/>
      <c r="HE163" s="416"/>
      <c r="HF163" s="416"/>
      <c r="HG163" s="416"/>
      <c r="HH163" s="416"/>
      <c r="HI163" s="416"/>
      <c r="HJ163" s="416"/>
      <c r="HK163" s="416"/>
      <c r="HL163" s="416"/>
      <c r="HM163" s="416"/>
      <c r="HN163" s="416"/>
      <c r="HO163" s="416"/>
      <c r="HP163" s="416"/>
      <c r="HQ163" s="416"/>
      <c r="HR163" s="416"/>
    </row>
    <row r="164" spans="1:226" s="418" customFormat="1" ht="15" customHeight="1">
      <c r="A164" s="1809"/>
      <c r="B164" s="1827"/>
      <c r="C164" s="1815"/>
      <c r="D164" s="1818"/>
      <c r="E164" s="1352" t="s">
        <v>394</v>
      </c>
      <c r="F164" s="1353">
        <f t="shared" ref="F164:F165" si="14">SUM(G164:J164)</f>
        <v>221000</v>
      </c>
      <c r="G164" s="1353"/>
      <c r="H164" s="1353">
        <v>221000</v>
      </c>
      <c r="I164" s="1353"/>
      <c r="J164" s="1354"/>
      <c r="K164" s="416"/>
    </row>
    <row r="165" spans="1:226" s="418" customFormat="1" ht="15" customHeight="1">
      <c r="A165" s="1809"/>
      <c r="B165" s="1827"/>
      <c r="C165" s="1815"/>
      <c r="D165" s="1818"/>
      <c r="E165" s="1352" t="s">
        <v>395</v>
      </c>
      <c r="F165" s="1353">
        <f t="shared" si="14"/>
        <v>7200</v>
      </c>
      <c r="G165" s="1353"/>
      <c r="H165" s="1353">
        <v>7200</v>
      </c>
      <c r="I165" s="1353"/>
      <c r="J165" s="1354"/>
      <c r="K165" s="416"/>
    </row>
    <row r="166" spans="1:226" s="418" customFormat="1" ht="15" customHeight="1">
      <c r="A166" s="1809"/>
      <c r="B166" s="1827"/>
      <c r="C166" s="1815"/>
      <c r="D166" s="1818"/>
      <c r="E166" s="1352" t="s">
        <v>396</v>
      </c>
      <c r="F166" s="1353">
        <f>SUM(G166:J166)</f>
        <v>16000</v>
      </c>
      <c r="G166" s="1353"/>
      <c r="H166" s="1353">
        <v>16000</v>
      </c>
      <c r="I166" s="1353"/>
      <c r="J166" s="1354"/>
      <c r="K166" s="416"/>
    </row>
    <row r="167" spans="1:226" s="418" customFormat="1" ht="18" customHeight="1">
      <c r="A167" s="1809"/>
      <c r="B167" s="1827"/>
      <c r="C167" s="1815"/>
      <c r="D167" s="1818"/>
      <c r="E167" s="1355" t="s">
        <v>324</v>
      </c>
      <c r="F167" s="1347">
        <f>SUM(F168:F169)</f>
        <v>41000</v>
      </c>
      <c r="G167" s="1347">
        <f t="shared" ref="G167:J167" si="15">SUM(G168:G169)</f>
        <v>0</v>
      </c>
      <c r="H167" s="1347">
        <f t="shared" si="15"/>
        <v>41000</v>
      </c>
      <c r="I167" s="1347">
        <f t="shared" si="15"/>
        <v>0</v>
      </c>
      <c r="J167" s="1348">
        <f t="shared" si="15"/>
        <v>0</v>
      </c>
      <c r="K167" s="416"/>
    </row>
    <row r="168" spans="1:226" s="416" customFormat="1" ht="16.5" customHeight="1" thickBot="1">
      <c r="A168" s="1809"/>
      <c r="B168" s="1827"/>
      <c r="C168" s="1815"/>
      <c r="D168" s="1818"/>
      <c r="E168" s="1352" t="s">
        <v>397</v>
      </c>
      <c r="F168" s="1353">
        <f>SUM(G168:J168)</f>
        <v>41000</v>
      </c>
      <c r="G168" s="1353"/>
      <c r="H168" s="1353">
        <v>41000</v>
      </c>
      <c r="I168" s="1353"/>
      <c r="J168" s="1354"/>
    </row>
    <row r="169" spans="1:226" s="418" customFormat="1" ht="16.5" hidden="1" customHeight="1">
      <c r="A169" s="1810"/>
      <c r="B169" s="1828"/>
      <c r="C169" s="1816"/>
      <c r="D169" s="1819"/>
      <c r="E169" s="1374" t="s">
        <v>398</v>
      </c>
      <c r="F169" s="1357">
        <f>SUM(G169:J169)</f>
        <v>0</v>
      </c>
      <c r="G169" s="1357"/>
      <c r="H169" s="1357"/>
      <c r="I169" s="1357"/>
      <c r="J169" s="1373"/>
      <c r="K169" s="416"/>
    </row>
    <row r="170" spans="1:226" s="418" customFormat="1" ht="24.95" customHeight="1">
      <c r="A170" s="1782" t="s">
        <v>399</v>
      </c>
      <c r="B170" s="1833" t="s">
        <v>400</v>
      </c>
      <c r="C170" s="1822">
        <v>600</v>
      </c>
      <c r="D170" s="1824" t="s">
        <v>119</v>
      </c>
      <c r="E170" s="1361" t="s">
        <v>322</v>
      </c>
      <c r="F170" s="1362">
        <f>SUM(F171,F180)</f>
        <v>106149000</v>
      </c>
      <c r="G170" s="1362">
        <f>SUM(G171,G180)</f>
        <v>19849000</v>
      </c>
      <c r="H170" s="1362">
        <f>SUM(H171,H180)</f>
        <v>73355000</v>
      </c>
      <c r="I170" s="1362">
        <f>SUM(I171,I180)</f>
        <v>12945000</v>
      </c>
      <c r="J170" s="1363">
        <f>SUM(J171,J180)</f>
        <v>0</v>
      </c>
      <c r="K170" s="416"/>
    </row>
    <row r="171" spans="1:226" s="418" customFormat="1" ht="21.75" customHeight="1">
      <c r="A171" s="1772"/>
      <c r="B171" s="1774"/>
      <c r="C171" s="1804"/>
      <c r="D171" s="1806"/>
      <c r="E171" s="1346" t="s">
        <v>334</v>
      </c>
      <c r="F171" s="1347">
        <f>SUM(F172,F176)</f>
        <v>0</v>
      </c>
      <c r="G171" s="1347">
        <f>SUM(G172,G176)</f>
        <v>0</v>
      </c>
      <c r="H171" s="1347">
        <f>SUM(H172,H176)</f>
        <v>0</v>
      </c>
      <c r="I171" s="1347">
        <f>SUM(I172,I176)</f>
        <v>0</v>
      </c>
      <c r="J171" s="1348">
        <f>SUM(J172,J176)</f>
        <v>0</v>
      </c>
      <c r="K171" s="416"/>
    </row>
    <row r="172" spans="1:226" s="418" customFormat="1" ht="24.95" hidden="1" customHeight="1">
      <c r="A172" s="1772"/>
      <c r="B172" s="1774"/>
      <c r="C172" s="1804"/>
      <c r="D172" s="1806"/>
      <c r="E172" s="1349" t="s">
        <v>335</v>
      </c>
      <c r="F172" s="1350">
        <f>SUM(F173:F175)</f>
        <v>0</v>
      </c>
      <c r="G172" s="1350">
        <f>SUM(G173:G175)</f>
        <v>0</v>
      </c>
      <c r="H172" s="1350">
        <f>SUM(H173:H175)</f>
        <v>0</v>
      </c>
      <c r="I172" s="1350">
        <f>SUM(I173:I175)</f>
        <v>0</v>
      </c>
      <c r="J172" s="1351">
        <f>SUM(J173:J175)</f>
        <v>0</v>
      </c>
      <c r="K172" s="416"/>
    </row>
    <row r="173" spans="1:226" s="418" customFormat="1" ht="15" hidden="1" customHeight="1">
      <c r="A173" s="1772"/>
      <c r="B173" s="1774"/>
      <c r="C173" s="1804"/>
      <c r="D173" s="1806"/>
      <c r="E173" s="1352"/>
      <c r="F173" s="1353">
        <f>SUM(G173:J173)</f>
        <v>0</v>
      </c>
      <c r="G173" s="1353"/>
      <c r="H173" s="1353"/>
      <c r="I173" s="1353"/>
      <c r="J173" s="1354"/>
      <c r="K173" s="416"/>
    </row>
    <row r="174" spans="1:226" s="418" customFormat="1" ht="15" hidden="1" customHeight="1">
      <c r="A174" s="1772"/>
      <c r="B174" s="1774"/>
      <c r="C174" s="1804"/>
      <c r="D174" s="1806"/>
      <c r="E174" s="1352"/>
      <c r="F174" s="1353">
        <f>SUM(G174:J174)</f>
        <v>0</v>
      </c>
      <c r="G174" s="1353"/>
      <c r="H174" s="1353"/>
      <c r="I174" s="1353"/>
      <c r="J174" s="1354"/>
      <c r="K174" s="416"/>
    </row>
    <row r="175" spans="1:226" s="418" customFormat="1" ht="15" hidden="1" customHeight="1">
      <c r="A175" s="1772"/>
      <c r="B175" s="1774"/>
      <c r="C175" s="1804"/>
      <c r="D175" s="1806"/>
      <c r="E175" s="1352"/>
      <c r="F175" s="1353">
        <f>SUM(G175:J175)</f>
        <v>0</v>
      </c>
      <c r="G175" s="1353"/>
      <c r="H175" s="1353"/>
      <c r="I175" s="1353"/>
      <c r="J175" s="1354"/>
      <c r="K175" s="416"/>
    </row>
    <row r="176" spans="1:226" s="418" customFormat="1" ht="24.95" hidden="1" customHeight="1">
      <c r="A176" s="1772"/>
      <c r="B176" s="1774"/>
      <c r="C176" s="1804"/>
      <c r="D176" s="1806"/>
      <c r="E176" s="1349" t="s">
        <v>340</v>
      </c>
      <c r="F176" s="1350">
        <f>SUM(F177:F179)</f>
        <v>0</v>
      </c>
      <c r="G176" s="1350">
        <f>SUM(G177:G179)</f>
        <v>0</v>
      </c>
      <c r="H176" s="1350">
        <f>SUM(H177:H179)</f>
        <v>0</v>
      </c>
      <c r="I176" s="1350">
        <f>SUM(I177:I179)</f>
        <v>0</v>
      </c>
      <c r="J176" s="1351">
        <f>SUM(J177:J179)</f>
        <v>0</v>
      </c>
      <c r="K176" s="416"/>
      <c r="L176" s="416"/>
      <c r="M176" s="416"/>
      <c r="N176" s="416"/>
      <c r="O176" s="416"/>
      <c r="P176" s="416"/>
      <c r="Q176" s="416"/>
      <c r="R176" s="416"/>
      <c r="S176" s="416"/>
      <c r="T176" s="416"/>
      <c r="U176" s="416"/>
      <c r="V176" s="416"/>
      <c r="W176" s="416"/>
      <c r="X176" s="416"/>
      <c r="Y176" s="416"/>
      <c r="Z176" s="416"/>
      <c r="AA176" s="416"/>
      <c r="AB176" s="416"/>
      <c r="AC176" s="416"/>
      <c r="AD176" s="416"/>
      <c r="AE176" s="416"/>
      <c r="AF176" s="416"/>
      <c r="AG176" s="416"/>
      <c r="AH176" s="416"/>
      <c r="AI176" s="416"/>
      <c r="AJ176" s="416"/>
      <c r="AK176" s="416"/>
      <c r="AL176" s="416"/>
      <c r="AM176" s="416"/>
      <c r="AN176" s="416"/>
      <c r="AO176" s="416"/>
      <c r="AP176" s="416"/>
      <c r="AQ176" s="416"/>
      <c r="AR176" s="416"/>
      <c r="AS176" s="416"/>
      <c r="AT176" s="416"/>
      <c r="AU176" s="416"/>
      <c r="AV176" s="416"/>
      <c r="AW176" s="416"/>
      <c r="AX176" s="416"/>
      <c r="AY176" s="416"/>
      <c r="AZ176" s="416"/>
      <c r="BA176" s="416"/>
      <c r="BB176" s="416"/>
      <c r="BC176" s="416"/>
      <c r="BD176" s="416"/>
      <c r="BE176" s="416"/>
      <c r="BF176" s="416"/>
      <c r="BG176" s="416"/>
      <c r="BH176" s="416"/>
      <c r="BI176" s="416"/>
      <c r="BJ176" s="416"/>
      <c r="BK176" s="416"/>
      <c r="BL176" s="416"/>
      <c r="BM176" s="416"/>
      <c r="BN176" s="416"/>
      <c r="BO176" s="416"/>
      <c r="BP176" s="416"/>
      <c r="BQ176" s="416"/>
      <c r="BR176" s="416"/>
      <c r="BS176" s="416"/>
      <c r="BT176" s="416"/>
      <c r="BU176" s="416"/>
      <c r="BV176" s="416"/>
      <c r="BW176" s="416"/>
      <c r="BX176" s="416"/>
      <c r="BY176" s="416"/>
      <c r="BZ176" s="416"/>
      <c r="CA176" s="416"/>
      <c r="CB176" s="416"/>
      <c r="CC176" s="416"/>
      <c r="CD176" s="416"/>
      <c r="CE176" s="416"/>
      <c r="CF176" s="416"/>
      <c r="CG176" s="416"/>
      <c r="CH176" s="416"/>
      <c r="CI176" s="416"/>
      <c r="CJ176" s="416"/>
      <c r="CK176" s="416"/>
      <c r="CL176" s="416"/>
      <c r="CM176" s="416"/>
      <c r="CN176" s="416"/>
      <c r="CO176" s="416"/>
      <c r="CP176" s="416"/>
      <c r="CQ176" s="416"/>
      <c r="CR176" s="416"/>
      <c r="CS176" s="416"/>
      <c r="CT176" s="416"/>
      <c r="CU176" s="416"/>
      <c r="CV176" s="416"/>
      <c r="CW176" s="416"/>
      <c r="CX176" s="416"/>
      <c r="CY176" s="416"/>
      <c r="CZ176" s="416"/>
      <c r="DA176" s="416"/>
      <c r="DB176" s="416"/>
      <c r="DC176" s="416"/>
      <c r="DD176" s="416"/>
      <c r="DE176" s="416"/>
      <c r="DF176" s="416"/>
      <c r="DG176" s="416"/>
      <c r="DH176" s="416"/>
      <c r="DI176" s="416"/>
      <c r="DJ176" s="416"/>
      <c r="DK176" s="416"/>
      <c r="DL176" s="416"/>
      <c r="DM176" s="416"/>
      <c r="DN176" s="416"/>
      <c r="DO176" s="416"/>
      <c r="DP176" s="416"/>
      <c r="DQ176" s="416"/>
      <c r="DR176" s="416"/>
      <c r="DS176" s="416"/>
      <c r="DT176" s="416"/>
      <c r="DU176" s="416"/>
      <c r="DV176" s="416"/>
      <c r="DW176" s="416"/>
      <c r="DX176" s="416"/>
      <c r="DY176" s="416"/>
      <c r="DZ176" s="416"/>
      <c r="EA176" s="416"/>
      <c r="EB176" s="416"/>
      <c r="EC176" s="416"/>
      <c r="ED176" s="416"/>
      <c r="EE176" s="416"/>
      <c r="EF176" s="416"/>
      <c r="EG176" s="416"/>
      <c r="EH176" s="416"/>
      <c r="EI176" s="416"/>
      <c r="EJ176" s="416"/>
      <c r="EK176" s="416"/>
      <c r="EL176" s="416"/>
      <c r="EM176" s="416"/>
      <c r="EN176" s="416"/>
      <c r="EO176" s="416"/>
      <c r="EP176" s="416"/>
      <c r="EQ176" s="416"/>
      <c r="ER176" s="416"/>
      <c r="ES176" s="416"/>
      <c r="ET176" s="416"/>
      <c r="EU176" s="416"/>
      <c r="EV176" s="416"/>
      <c r="EW176" s="416"/>
      <c r="EX176" s="416"/>
      <c r="EY176" s="416"/>
      <c r="EZ176" s="416"/>
      <c r="FA176" s="416"/>
      <c r="FB176" s="416"/>
      <c r="FC176" s="416"/>
      <c r="FD176" s="416"/>
      <c r="FE176" s="416"/>
      <c r="FF176" s="416"/>
      <c r="FG176" s="416"/>
      <c r="FH176" s="416"/>
      <c r="FI176" s="416"/>
      <c r="FJ176" s="416"/>
      <c r="FK176" s="416"/>
      <c r="FL176" s="416"/>
      <c r="FM176" s="416"/>
      <c r="FN176" s="416"/>
      <c r="FO176" s="416"/>
      <c r="FP176" s="416"/>
      <c r="FQ176" s="416"/>
      <c r="FR176" s="416"/>
      <c r="FS176" s="416"/>
      <c r="FT176" s="416"/>
      <c r="FU176" s="416"/>
      <c r="FV176" s="416"/>
      <c r="FW176" s="416"/>
      <c r="FX176" s="416"/>
      <c r="FY176" s="416"/>
      <c r="FZ176" s="416"/>
      <c r="GA176" s="416"/>
      <c r="GB176" s="416"/>
      <c r="GC176" s="416"/>
      <c r="GD176" s="416"/>
      <c r="GE176" s="416"/>
      <c r="GF176" s="416"/>
      <c r="GG176" s="416"/>
      <c r="GH176" s="416"/>
      <c r="GI176" s="416"/>
      <c r="GJ176" s="416"/>
      <c r="GK176" s="416"/>
      <c r="GL176" s="416"/>
      <c r="GM176" s="416"/>
      <c r="GN176" s="416"/>
      <c r="GO176" s="416"/>
      <c r="GP176" s="416"/>
      <c r="GQ176" s="416"/>
      <c r="GR176" s="416"/>
      <c r="GS176" s="416"/>
      <c r="GT176" s="416"/>
      <c r="GU176" s="416"/>
      <c r="GV176" s="416"/>
      <c r="GW176" s="416"/>
      <c r="GX176" s="416"/>
      <c r="GY176" s="416"/>
      <c r="GZ176" s="416"/>
      <c r="HA176" s="416"/>
      <c r="HB176" s="416"/>
      <c r="HC176" s="416"/>
      <c r="HD176" s="416"/>
      <c r="HE176" s="416"/>
      <c r="HF176" s="416"/>
      <c r="HG176" s="416"/>
      <c r="HH176" s="416"/>
      <c r="HI176" s="416"/>
      <c r="HJ176" s="416"/>
      <c r="HK176" s="416"/>
      <c r="HL176" s="416"/>
      <c r="HM176" s="416"/>
      <c r="HN176" s="416"/>
      <c r="HO176" s="416"/>
      <c r="HP176" s="416"/>
      <c r="HQ176" s="416"/>
      <c r="HR176" s="416"/>
    </row>
    <row r="177" spans="1:226" s="418" customFormat="1" ht="15" hidden="1" customHeight="1">
      <c r="A177" s="1772"/>
      <c r="B177" s="1774"/>
      <c r="C177" s="1804"/>
      <c r="D177" s="1806"/>
      <c r="E177" s="1352"/>
      <c r="F177" s="1353">
        <f>SUM(G177:J177)</f>
        <v>0</v>
      </c>
      <c r="G177" s="1353"/>
      <c r="H177" s="1353"/>
      <c r="I177" s="1353"/>
      <c r="J177" s="1354"/>
      <c r="K177" s="416"/>
    </row>
    <row r="178" spans="1:226" s="418" customFormat="1" ht="15" hidden="1" customHeight="1">
      <c r="A178" s="1772"/>
      <c r="B178" s="1774"/>
      <c r="C178" s="1804"/>
      <c r="D178" s="1806"/>
      <c r="E178" s="1352"/>
      <c r="F178" s="1353">
        <f t="shared" ref="F178:F179" si="16">SUM(G178:J178)</f>
        <v>0</v>
      </c>
      <c r="G178" s="1353"/>
      <c r="H178" s="1353"/>
      <c r="I178" s="1353"/>
      <c r="J178" s="1354"/>
      <c r="K178" s="416"/>
    </row>
    <row r="179" spans="1:226" s="418" customFormat="1" ht="15" hidden="1" customHeight="1">
      <c r="A179" s="1772"/>
      <c r="B179" s="1774"/>
      <c r="C179" s="1804"/>
      <c r="D179" s="1806"/>
      <c r="E179" s="1352"/>
      <c r="F179" s="1353">
        <f t="shared" si="16"/>
        <v>0</v>
      </c>
      <c r="G179" s="1353"/>
      <c r="H179" s="1353"/>
      <c r="I179" s="1353"/>
      <c r="J179" s="1354"/>
      <c r="K179" s="416"/>
    </row>
    <row r="180" spans="1:226" s="418" customFormat="1" ht="16.5" customHeight="1">
      <c r="A180" s="1772"/>
      <c r="B180" s="1774"/>
      <c r="C180" s="1804"/>
      <c r="D180" s="1806"/>
      <c r="E180" s="1355" t="s">
        <v>324</v>
      </c>
      <c r="F180" s="1347">
        <f>SUM(F181:F183)</f>
        <v>106149000</v>
      </c>
      <c r="G180" s="1347">
        <f>SUM(G181:G183)</f>
        <v>19849000</v>
      </c>
      <c r="H180" s="1347">
        <f>SUM(H181:H183)</f>
        <v>73355000</v>
      </c>
      <c r="I180" s="1347">
        <f>SUM(I181:I183)</f>
        <v>12945000</v>
      </c>
      <c r="J180" s="1348">
        <f>SUM(J181:J183)</f>
        <v>0</v>
      </c>
      <c r="K180" s="416"/>
    </row>
    <row r="181" spans="1:226" s="418" customFormat="1" ht="15" customHeight="1">
      <c r="A181" s="1772"/>
      <c r="B181" s="1774"/>
      <c r="C181" s="1804"/>
      <c r="D181" s="1806"/>
      <c r="E181" s="1352" t="s">
        <v>401</v>
      </c>
      <c r="F181" s="1353">
        <f>SUM(G181:J181)</f>
        <v>19849000</v>
      </c>
      <c r="G181" s="1353">
        <v>19849000</v>
      </c>
      <c r="H181" s="1353"/>
      <c r="I181" s="1353"/>
      <c r="J181" s="1354"/>
      <c r="K181" s="416"/>
    </row>
    <row r="182" spans="1:226" s="418" customFormat="1" ht="15" customHeight="1">
      <c r="A182" s="1772"/>
      <c r="B182" s="1774"/>
      <c r="C182" s="1804"/>
      <c r="D182" s="1806"/>
      <c r="E182" s="1352" t="s">
        <v>397</v>
      </c>
      <c r="F182" s="1353">
        <f>SUM(G182:J182)</f>
        <v>73355000</v>
      </c>
      <c r="G182" s="1353"/>
      <c r="H182" s="1353">
        <v>73355000</v>
      </c>
      <c r="I182" s="1353"/>
      <c r="J182" s="1354"/>
      <c r="K182" s="416"/>
    </row>
    <row r="183" spans="1:226" s="418" customFormat="1" ht="15" customHeight="1" thickBot="1">
      <c r="A183" s="1773"/>
      <c r="B183" s="1775"/>
      <c r="C183" s="1805"/>
      <c r="D183" s="1807"/>
      <c r="E183" s="1358">
        <v>6069</v>
      </c>
      <c r="F183" s="1359">
        <f>SUM(G183:J183)</f>
        <v>12945000</v>
      </c>
      <c r="G183" s="1359"/>
      <c r="H183" s="1359"/>
      <c r="I183" s="1359">
        <v>12945000</v>
      </c>
      <c r="J183" s="1360"/>
      <c r="K183" s="416"/>
    </row>
    <row r="184" spans="1:226" s="418" customFormat="1" ht="24.95" customHeight="1">
      <c r="A184" s="1782" t="s">
        <v>402</v>
      </c>
      <c r="B184" s="1833" t="s">
        <v>403</v>
      </c>
      <c r="C184" s="1814">
        <v>710</v>
      </c>
      <c r="D184" s="1817" t="s">
        <v>227</v>
      </c>
      <c r="E184" s="1361" t="s">
        <v>322</v>
      </c>
      <c r="F184" s="1362">
        <f>SUM(F185,F192)</f>
        <v>71610713</v>
      </c>
      <c r="G184" s="1362">
        <f>SUM(G185,G192)</f>
        <v>497577</v>
      </c>
      <c r="H184" s="1362">
        <f>SUM(H185,H192)</f>
        <v>71113136</v>
      </c>
      <c r="I184" s="1362">
        <f>SUM(I185,I192)</f>
        <v>0</v>
      </c>
      <c r="J184" s="1363">
        <f>SUM(J185,J192)</f>
        <v>0</v>
      </c>
      <c r="K184" s="416"/>
    </row>
    <row r="185" spans="1:226" s="418" customFormat="1" ht="21">
      <c r="A185" s="1772"/>
      <c r="B185" s="1774"/>
      <c r="C185" s="1815"/>
      <c r="D185" s="1818"/>
      <c r="E185" s="1346" t="s">
        <v>334</v>
      </c>
      <c r="F185" s="1347">
        <f>SUM(F186,F188)</f>
        <v>49424508</v>
      </c>
      <c r="G185" s="1347">
        <f>SUM(G186,G188)</f>
        <v>0</v>
      </c>
      <c r="H185" s="1347">
        <f>SUM(H186,H188)</f>
        <v>49424508</v>
      </c>
      <c r="I185" s="1347">
        <f>SUM(I186,I188)</f>
        <v>0</v>
      </c>
      <c r="J185" s="1348">
        <f>SUM(J186,J188)</f>
        <v>0</v>
      </c>
      <c r="K185" s="416"/>
    </row>
    <row r="186" spans="1:226" s="418" customFormat="1" ht="24.95" customHeight="1">
      <c r="A186" s="1772"/>
      <c r="B186" s="1774"/>
      <c r="C186" s="1815"/>
      <c r="D186" s="1818"/>
      <c r="E186" s="1349" t="s">
        <v>389</v>
      </c>
      <c r="F186" s="1350">
        <f>SUM(F187:F187)</f>
        <v>49424508</v>
      </c>
      <c r="G186" s="1350">
        <f>SUM(G187:G187)</f>
        <v>0</v>
      </c>
      <c r="H186" s="1350">
        <f>SUM(H187:H187)</f>
        <v>49424508</v>
      </c>
      <c r="I186" s="1350">
        <f>SUM(I187:I187)</f>
        <v>0</v>
      </c>
      <c r="J186" s="1351">
        <f>SUM(J187:J187)</f>
        <v>0</v>
      </c>
      <c r="K186" s="416"/>
    </row>
    <row r="187" spans="1:226" s="418" customFormat="1" ht="15" customHeight="1">
      <c r="A187" s="1772"/>
      <c r="B187" s="1774"/>
      <c r="C187" s="1831"/>
      <c r="D187" s="1832"/>
      <c r="E187" s="1352" t="s">
        <v>404</v>
      </c>
      <c r="F187" s="1353">
        <f>SUM(G187:J187)</f>
        <v>49424508</v>
      </c>
      <c r="G187" s="1353"/>
      <c r="H187" s="1353">
        <f>83236272-33811764</f>
        <v>49424508</v>
      </c>
      <c r="I187" s="1353"/>
      <c r="J187" s="1354"/>
      <c r="K187" s="416"/>
    </row>
    <row r="188" spans="1:226" s="418" customFormat="1" ht="24.95" hidden="1" customHeight="1">
      <c r="A188" s="1772"/>
      <c r="B188" s="1774"/>
      <c r="C188" s="1376"/>
      <c r="D188" s="1377"/>
      <c r="E188" s="1349" t="s">
        <v>340</v>
      </c>
      <c r="F188" s="1350">
        <f>SUM(F189:F191)</f>
        <v>0</v>
      </c>
      <c r="G188" s="1350">
        <f>SUM(G189:G191)</f>
        <v>0</v>
      </c>
      <c r="H188" s="1350">
        <f>SUM(H189:H191)</f>
        <v>0</v>
      </c>
      <c r="I188" s="1350">
        <f>SUM(I189:I191)</f>
        <v>0</v>
      </c>
      <c r="J188" s="1351">
        <f>SUM(J189:J191)</f>
        <v>0</v>
      </c>
      <c r="K188" s="416"/>
      <c r="L188" s="416"/>
      <c r="M188" s="416"/>
      <c r="N188" s="416"/>
      <c r="O188" s="416"/>
      <c r="P188" s="416"/>
      <c r="Q188" s="416"/>
      <c r="R188" s="416"/>
      <c r="S188" s="416"/>
      <c r="T188" s="416"/>
      <c r="U188" s="416"/>
      <c r="V188" s="416"/>
      <c r="W188" s="416"/>
      <c r="X188" s="416"/>
      <c r="Y188" s="416"/>
      <c r="Z188" s="416"/>
      <c r="AA188" s="416"/>
      <c r="AB188" s="416"/>
      <c r="AC188" s="416"/>
      <c r="AD188" s="416"/>
      <c r="AE188" s="416"/>
      <c r="AF188" s="416"/>
      <c r="AG188" s="416"/>
      <c r="AH188" s="416"/>
      <c r="AI188" s="416"/>
      <c r="AJ188" s="416"/>
      <c r="AK188" s="416"/>
      <c r="AL188" s="416"/>
      <c r="AM188" s="416"/>
      <c r="AN188" s="416"/>
      <c r="AO188" s="416"/>
      <c r="AP188" s="416"/>
      <c r="AQ188" s="416"/>
      <c r="AR188" s="416"/>
      <c r="AS188" s="416"/>
      <c r="AT188" s="416"/>
      <c r="AU188" s="416"/>
      <c r="AV188" s="416"/>
      <c r="AW188" s="416"/>
      <c r="AX188" s="416"/>
      <c r="AY188" s="416"/>
      <c r="AZ188" s="416"/>
      <c r="BA188" s="416"/>
      <c r="BB188" s="416"/>
      <c r="BC188" s="416"/>
      <c r="BD188" s="416"/>
      <c r="BE188" s="416"/>
      <c r="BF188" s="416"/>
      <c r="BG188" s="416"/>
      <c r="BH188" s="416"/>
      <c r="BI188" s="416"/>
      <c r="BJ188" s="416"/>
      <c r="BK188" s="416"/>
      <c r="BL188" s="416"/>
      <c r="BM188" s="416"/>
      <c r="BN188" s="416"/>
      <c r="BO188" s="416"/>
      <c r="BP188" s="416"/>
      <c r="BQ188" s="416"/>
      <c r="BR188" s="416"/>
      <c r="BS188" s="416"/>
      <c r="BT188" s="416"/>
      <c r="BU188" s="416"/>
      <c r="BV188" s="416"/>
      <c r="BW188" s="416"/>
      <c r="BX188" s="416"/>
      <c r="BY188" s="416"/>
      <c r="BZ188" s="416"/>
      <c r="CA188" s="416"/>
      <c r="CB188" s="416"/>
      <c r="CC188" s="416"/>
      <c r="CD188" s="416"/>
      <c r="CE188" s="416"/>
      <c r="CF188" s="416"/>
      <c r="CG188" s="416"/>
      <c r="CH188" s="416"/>
      <c r="CI188" s="416"/>
      <c r="CJ188" s="416"/>
      <c r="CK188" s="416"/>
      <c r="CL188" s="416"/>
      <c r="CM188" s="416"/>
      <c r="CN188" s="416"/>
      <c r="CO188" s="416"/>
      <c r="CP188" s="416"/>
      <c r="CQ188" s="416"/>
      <c r="CR188" s="416"/>
      <c r="CS188" s="416"/>
      <c r="CT188" s="416"/>
      <c r="CU188" s="416"/>
      <c r="CV188" s="416"/>
      <c r="CW188" s="416"/>
      <c r="CX188" s="416"/>
      <c r="CY188" s="416"/>
      <c r="CZ188" s="416"/>
      <c r="DA188" s="416"/>
      <c r="DB188" s="416"/>
      <c r="DC188" s="416"/>
      <c r="DD188" s="416"/>
      <c r="DE188" s="416"/>
      <c r="DF188" s="416"/>
      <c r="DG188" s="416"/>
      <c r="DH188" s="416"/>
      <c r="DI188" s="416"/>
      <c r="DJ188" s="416"/>
      <c r="DK188" s="416"/>
      <c r="DL188" s="416"/>
      <c r="DM188" s="416"/>
      <c r="DN188" s="416"/>
      <c r="DO188" s="416"/>
      <c r="DP188" s="416"/>
      <c r="DQ188" s="416"/>
      <c r="DR188" s="416"/>
      <c r="DS188" s="416"/>
      <c r="DT188" s="416"/>
      <c r="DU188" s="416"/>
      <c r="DV188" s="416"/>
      <c r="DW188" s="416"/>
      <c r="DX188" s="416"/>
      <c r="DY188" s="416"/>
      <c r="DZ188" s="416"/>
      <c r="EA188" s="416"/>
      <c r="EB188" s="416"/>
      <c r="EC188" s="416"/>
      <c r="ED188" s="416"/>
      <c r="EE188" s="416"/>
      <c r="EF188" s="416"/>
      <c r="EG188" s="416"/>
      <c r="EH188" s="416"/>
      <c r="EI188" s="416"/>
      <c r="EJ188" s="416"/>
      <c r="EK188" s="416"/>
      <c r="EL188" s="416"/>
      <c r="EM188" s="416"/>
      <c r="EN188" s="416"/>
      <c r="EO188" s="416"/>
      <c r="EP188" s="416"/>
      <c r="EQ188" s="416"/>
      <c r="ER188" s="416"/>
      <c r="ES188" s="416"/>
      <c r="ET188" s="416"/>
      <c r="EU188" s="416"/>
      <c r="EV188" s="416"/>
      <c r="EW188" s="416"/>
      <c r="EX188" s="416"/>
      <c r="EY188" s="416"/>
      <c r="EZ188" s="416"/>
      <c r="FA188" s="416"/>
      <c r="FB188" s="416"/>
      <c r="FC188" s="416"/>
      <c r="FD188" s="416"/>
      <c r="FE188" s="416"/>
      <c r="FF188" s="416"/>
      <c r="FG188" s="416"/>
      <c r="FH188" s="416"/>
      <c r="FI188" s="416"/>
      <c r="FJ188" s="416"/>
      <c r="FK188" s="416"/>
      <c r="FL188" s="416"/>
      <c r="FM188" s="416"/>
      <c r="FN188" s="416"/>
      <c r="FO188" s="416"/>
      <c r="FP188" s="416"/>
      <c r="FQ188" s="416"/>
      <c r="FR188" s="416"/>
      <c r="FS188" s="416"/>
      <c r="FT188" s="416"/>
      <c r="FU188" s="416"/>
      <c r="FV188" s="416"/>
      <c r="FW188" s="416"/>
      <c r="FX188" s="416"/>
      <c r="FY188" s="416"/>
      <c r="FZ188" s="416"/>
      <c r="GA188" s="416"/>
      <c r="GB188" s="416"/>
      <c r="GC188" s="416"/>
      <c r="GD188" s="416"/>
      <c r="GE188" s="416"/>
      <c r="GF188" s="416"/>
      <c r="GG188" s="416"/>
      <c r="GH188" s="416"/>
      <c r="GI188" s="416"/>
      <c r="GJ188" s="416"/>
      <c r="GK188" s="416"/>
      <c r="GL188" s="416"/>
      <c r="GM188" s="416"/>
      <c r="GN188" s="416"/>
      <c r="GO188" s="416"/>
      <c r="GP188" s="416"/>
      <c r="GQ188" s="416"/>
      <c r="GR188" s="416"/>
      <c r="GS188" s="416"/>
      <c r="GT188" s="416"/>
      <c r="GU188" s="416"/>
      <c r="GV188" s="416"/>
      <c r="GW188" s="416"/>
      <c r="GX188" s="416"/>
      <c r="GY188" s="416"/>
      <c r="GZ188" s="416"/>
      <c r="HA188" s="416"/>
      <c r="HB188" s="416"/>
      <c r="HC188" s="416"/>
      <c r="HD188" s="416"/>
      <c r="HE188" s="416"/>
      <c r="HF188" s="416"/>
      <c r="HG188" s="416"/>
      <c r="HH188" s="416"/>
      <c r="HI188" s="416"/>
      <c r="HJ188" s="416"/>
      <c r="HK188" s="416"/>
      <c r="HL188" s="416"/>
      <c r="HM188" s="416"/>
      <c r="HN188" s="416"/>
      <c r="HO188" s="416"/>
      <c r="HP188" s="416"/>
      <c r="HQ188" s="416"/>
      <c r="HR188" s="416"/>
    </row>
    <row r="189" spans="1:226" s="418" customFormat="1" ht="15" hidden="1" customHeight="1">
      <c r="A189" s="1772"/>
      <c r="B189" s="1774"/>
      <c r="C189" s="1376"/>
      <c r="D189" s="1377"/>
      <c r="E189" s="1352"/>
      <c r="F189" s="1353">
        <f>SUM(G189:J189)</f>
        <v>0</v>
      </c>
      <c r="G189" s="1353"/>
      <c r="H189" s="1353"/>
      <c r="I189" s="1353"/>
      <c r="J189" s="1354"/>
      <c r="K189" s="416"/>
    </row>
    <row r="190" spans="1:226" s="418" customFormat="1" ht="15" hidden="1" customHeight="1">
      <c r="A190" s="1772"/>
      <c r="B190" s="1774"/>
      <c r="C190" s="1376"/>
      <c r="D190" s="1377"/>
      <c r="E190" s="1352"/>
      <c r="F190" s="1353">
        <f t="shared" ref="F190:F191" si="17">SUM(G190:J190)</f>
        <v>0</v>
      </c>
      <c r="G190" s="1353"/>
      <c r="H190" s="1353"/>
      <c r="I190" s="1353"/>
      <c r="J190" s="1354"/>
      <c r="K190" s="416"/>
    </row>
    <row r="191" spans="1:226" s="418" customFormat="1" ht="15" hidden="1" customHeight="1">
      <c r="A191" s="1772"/>
      <c r="B191" s="1774"/>
      <c r="C191" s="1376"/>
      <c r="D191" s="1377"/>
      <c r="E191" s="1352"/>
      <c r="F191" s="1353">
        <f t="shared" si="17"/>
        <v>0</v>
      </c>
      <c r="G191" s="1353"/>
      <c r="H191" s="1353"/>
      <c r="I191" s="1353"/>
      <c r="J191" s="1354"/>
      <c r="K191" s="416"/>
    </row>
    <row r="192" spans="1:226" s="418" customFormat="1" ht="11.25" customHeight="1">
      <c r="A192" s="1772"/>
      <c r="B192" s="1774"/>
      <c r="C192" s="1815">
        <v>720</v>
      </c>
      <c r="D192" s="1818" t="s">
        <v>275</v>
      </c>
      <c r="E192" s="1355" t="s">
        <v>324</v>
      </c>
      <c r="F192" s="1347">
        <f>SUM(F193:F196)</f>
        <v>22186205</v>
      </c>
      <c r="G192" s="1347">
        <f>SUM(G193:G196)</f>
        <v>497577</v>
      </c>
      <c r="H192" s="1347">
        <f>SUM(H193:H196)</f>
        <v>21688628</v>
      </c>
      <c r="I192" s="1347">
        <f>SUM(I193:I196)</f>
        <v>0</v>
      </c>
      <c r="J192" s="1348">
        <f>SUM(J193:J196)</f>
        <v>0</v>
      </c>
      <c r="K192" s="417"/>
    </row>
    <row r="193" spans="1:226" s="418" customFormat="1" ht="15" hidden="1" customHeight="1">
      <c r="A193" s="1772"/>
      <c r="B193" s="1774"/>
      <c r="C193" s="1815"/>
      <c r="D193" s="1818"/>
      <c r="E193" s="1352" t="s">
        <v>405</v>
      </c>
      <c r="F193" s="1353">
        <f>SUM(G193:J193)</f>
        <v>0</v>
      </c>
      <c r="G193" s="1353">
        <f>2000-2000</f>
        <v>0</v>
      </c>
      <c r="H193" s="1353"/>
      <c r="I193" s="1353"/>
      <c r="J193" s="1354"/>
      <c r="K193" s="417"/>
    </row>
    <row r="194" spans="1:226" s="418" customFormat="1" ht="15" customHeight="1">
      <c r="A194" s="1772"/>
      <c r="B194" s="1774"/>
      <c r="C194" s="1815"/>
      <c r="D194" s="1818"/>
      <c r="E194" s="1352" t="s">
        <v>406</v>
      </c>
      <c r="F194" s="1353">
        <f>SUM(G194:J194)</f>
        <v>3374708</v>
      </c>
      <c r="G194" s="1353"/>
      <c r="H194" s="1353">
        <f>11701330-8326622</f>
        <v>3374708</v>
      </c>
      <c r="I194" s="1353"/>
      <c r="J194" s="1354"/>
      <c r="K194" s="417"/>
    </row>
    <row r="195" spans="1:226" s="418" customFormat="1" ht="15" customHeight="1">
      <c r="A195" s="1772"/>
      <c r="B195" s="1774"/>
      <c r="C195" s="1815"/>
      <c r="D195" s="1818"/>
      <c r="E195" s="1375">
        <v>6059</v>
      </c>
      <c r="F195" s="1353">
        <f>SUM(G195:J195)</f>
        <v>497577</v>
      </c>
      <c r="G195" s="1353">
        <f>1918333-1420756</f>
        <v>497577</v>
      </c>
      <c r="H195" s="1353"/>
      <c r="I195" s="1353"/>
      <c r="J195" s="1354"/>
      <c r="K195" s="416"/>
    </row>
    <row r="196" spans="1:226" s="418" customFormat="1" ht="15" customHeight="1" thickBot="1">
      <c r="A196" s="1783"/>
      <c r="B196" s="1821"/>
      <c r="C196" s="1816"/>
      <c r="D196" s="1819"/>
      <c r="E196" s="1356">
        <v>6257</v>
      </c>
      <c r="F196" s="1357">
        <f>SUM(G196:J196)</f>
        <v>18313920</v>
      </c>
      <c r="G196" s="1357"/>
      <c r="H196" s="1357">
        <f>31191753-12877833</f>
        <v>18313920</v>
      </c>
      <c r="I196" s="1357"/>
      <c r="J196" s="1373"/>
      <c r="K196" s="416"/>
    </row>
    <row r="197" spans="1:226" s="418" customFormat="1" ht="22.5">
      <c r="A197" s="1782" t="s">
        <v>407</v>
      </c>
      <c r="B197" s="1833" t="s">
        <v>408</v>
      </c>
      <c r="C197" s="1822">
        <v>730</v>
      </c>
      <c r="D197" s="1824" t="s">
        <v>409</v>
      </c>
      <c r="E197" s="1361" t="s">
        <v>322</v>
      </c>
      <c r="F197" s="1362">
        <f>SUM(F198,F210)</f>
        <v>1235263</v>
      </c>
      <c r="G197" s="1362">
        <f>SUM(G198,G210)</f>
        <v>0</v>
      </c>
      <c r="H197" s="1362">
        <f>SUM(H198,H210)</f>
        <v>1235263</v>
      </c>
      <c r="I197" s="1362">
        <f>SUM(I198,I210)</f>
        <v>0</v>
      </c>
      <c r="J197" s="1363">
        <f>SUM(J198,J210)</f>
        <v>0</v>
      </c>
      <c r="K197" s="416"/>
    </row>
    <row r="198" spans="1:226" s="418" customFormat="1" ht="21">
      <c r="A198" s="1772"/>
      <c r="B198" s="1774"/>
      <c r="C198" s="1804"/>
      <c r="D198" s="1806"/>
      <c r="E198" s="1346" t="s">
        <v>334</v>
      </c>
      <c r="F198" s="1347">
        <f>SUM(F199,F203)</f>
        <v>1010000</v>
      </c>
      <c r="G198" s="1347">
        <f>SUM(G199,G203)</f>
        <v>0</v>
      </c>
      <c r="H198" s="1347">
        <f>SUM(H199,H203)</f>
        <v>1010000</v>
      </c>
      <c r="I198" s="1347">
        <f>SUM(I199,I203)</f>
        <v>0</v>
      </c>
      <c r="J198" s="1348">
        <f>SUM(J199,J203)</f>
        <v>0</v>
      </c>
      <c r="K198" s="416"/>
    </row>
    <row r="199" spans="1:226" s="418" customFormat="1" ht="24.95" customHeight="1">
      <c r="A199" s="1772"/>
      <c r="B199" s="1774"/>
      <c r="C199" s="1804"/>
      <c r="D199" s="1806"/>
      <c r="E199" s="1349" t="s">
        <v>335</v>
      </c>
      <c r="F199" s="1350">
        <f>SUM(F200:F202)</f>
        <v>200000</v>
      </c>
      <c r="G199" s="1350">
        <f>SUM(G200:G202)</f>
        <v>0</v>
      </c>
      <c r="H199" s="1350">
        <f>SUM(H200:H202)</f>
        <v>200000</v>
      </c>
      <c r="I199" s="1350">
        <f>SUM(I200:I202)</f>
        <v>0</v>
      </c>
      <c r="J199" s="1351">
        <f>SUM(J200:J202)</f>
        <v>0</v>
      </c>
      <c r="K199" s="416"/>
    </row>
    <row r="200" spans="1:226" s="418" customFormat="1" ht="15" customHeight="1">
      <c r="A200" s="1772"/>
      <c r="B200" s="1774"/>
      <c r="C200" s="1804"/>
      <c r="D200" s="1806"/>
      <c r="E200" s="1352" t="s">
        <v>410</v>
      </c>
      <c r="F200" s="1353">
        <f>SUM(G200:J200)</f>
        <v>200000</v>
      </c>
      <c r="G200" s="1353"/>
      <c r="H200" s="1353">
        <v>200000</v>
      </c>
      <c r="I200" s="1353"/>
      <c r="J200" s="1354"/>
      <c r="K200" s="416"/>
    </row>
    <row r="201" spans="1:226" s="418" customFormat="1" ht="15" hidden="1" customHeight="1">
      <c r="A201" s="1772"/>
      <c r="B201" s="1774"/>
      <c r="C201" s="1804"/>
      <c r="D201" s="1806"/>
      <c r="E201" s="1352"/>
      <c r="F201" s="1353">
        <f>SUM(G201:J201)</f>
        <v>0</v>
      </c>
      <c r="G201" s="1353"/>
      <c r="H201" s="1353"/>
      <c r="I201" s="1353"/>
      <c r="J201" s="1354"/>
      <c r="K201" s="416"/>
    </row>
    <row r="202" spans="1:226" s="418" customFormat="1" ht="15" hidden="1" customHeight="1">
      <c r="A202" s="1772"/>
      <c r="B202" s="1774"/>
      <c r="C202" s="1804"/>
      <c r="D202" s="1806"/>
      <c r="E202" s="1352"/>
      <c r="F202" s="1353">
        <f>SUM(G202:J202)</f>
        <v>0</v>
      </c>
      <c r="G202" s="1353"/>
      <c r="H202" s="1353"/>
      <c r="I202" s="1353"/>
      <c r="J202" s="1354"/>
      <c r="K202" s="416"/>
    </row>
    <row r="203" spans="1:226" s="418" customFormat="1" ht="24.95" customHeight="1">
      <c r="A203" s="1772"/>
      <c r="B203" s="1774"/>
      <c r="C203" s="1804"/>
      <c r="D203" s="1806"/>
      <c r="E203" s="1349" t="s">
        <v>340</v>
      </c>
      <c r="F203" s="1350">
        <f>SUM(F204:F209)</f>
        <v>810000</v>
      </c>
      <c r="G203" s="1350">
        <f>SUM(G204:G209)</f>
        <v>0</v>
      </c>
      <c r="H203" s="1350">
        <f>SUM(H204:H209)</f>
        <v>810000</v>
      </c>
      <c r="I203" s="1350">
        <f>SUM(I204:I209)</f>
        <v>0</v>
      </c>
      <c r="J203" s="1351">
        <f>SUM(J204:J209)</f>
        <v>0</v>
      </c>
      <c r="K203" s="416"/>
      <c r="L203" s="416"/>
      <c r="M203" s="416"/>
      <c r="N203" s="416"/>
      <c r="O203" s="416"/>
      <c r="P203" s="416"/>
      <c r="Q203" s="416"/>
      <c r="R203" s="416"/>
      <c r="S203" s="416"/>
      <c r="T203" s="416"/>
      <c r="U203" s="416"/>
      <c r="V203" s="416"/>
      <c r="W203" s="416"/>
      <c r="X203" s="416"/>
      <c r="Y203" s="416"/>
      <c r="Z203" s="416"/>
      <c r="AA203" s="416"/>
      <c r="AB203" s="416"/>
      <c r="AC203" s="416"/>
      <c r="AD203" s="416"/>
      <c r="AE203" s="416"/>
      <c r="AF203" s="416"/>
      <c r="AG203" s="416"/>
      <c r="AH203" s="416"/>
      <c r="AI203" s="416"/>
      <c r="AJ203" s="416"/>
      <c r="AK203" s="416"/>
      <c r="AL203" s="416"/>
      <c r="AM203" s="416"/>
      <c r="AN203" s="416"/>
      <c r="AO203" s="416"/>
      <c r="AP203" s="416"/>
      <c r="AQ203" s="416"/>
      <c r="AR203" s="416"/>
      <c r="AS203" s="416"/>
      <c r="AT203" s="416"/>
      <c r="AU203" s="416"/>
      <c r="AV203" s="416"/>
      <c r="AW203" s="416"/>
      <c r="AX203" s="416"/>
      <c r="AY203" s="416"/>
      <c r="AZ203" s="416"/>
      <c r="BA203" s="416"/>
      <c r="BB203" s="416"/>
      <c r="BC203" s="416"/>
      <c r="BD203" s="416"/>
      <c r="BE203" s="416"/>
      <c r="BF203" s="416"/>
      <c r="BG203" s="416"/>
      <c r="BH203" s="416"/>
      <c r="BI203" s="416"/>
      <c r="BJ203" s="416"/>
      <c r="BK203" s="416"/>
      <c r="BL203" s="416"/>
      <c r="BM203" s="416"/>
      <c r="BN203" s="416"/>
      <c r="BO203" s="416"/>
      <c r="BP203" s="416"/>
      <c r="BQ203" s="416"/>
      <c r="BR203" s="416"/>
      <c r="BS203" s="416"/>
      <c r="BT203" s="416"/>
      <c r="BU203" s="416"/>
      <c r="BV203" s="416"/>
      <c r="BW203" s="416"/>
      <c r="BX203" s="416"/>
      <c r="BY203" s="416"/>
      <c r="BZ203" s="416"/>
      <c r="CA203" s="416"/>
      <c r="CB203" s="416"/>
      <c r="CC203" s="416"/>
      <c r="CD203" s="416"/>
      <c r="CE203" s="416"/>
      <c r="CF203" s="416"/>
      <c r="CG203" s="416"/>
      <c r="CH203" s="416"/>
      <c r="CI203" s="416"/>
      <c r="CJ203" s="416"/>
      <c r="CK203" s="416"/>
      <c r="CL203" s="416"/>
      <c r="CM203" s="416"/>
      <c r="CN203" s="416"/>
      <c r="CO203" s="416"/>
      <c r="CP203" s="416"/>
      <c r="CQ203" s="416"/>
      <c r="CR203" s="416"/>
      <c r="CS203" s="416"/>
      <c r="CT203" s="416"/>
      <c r="CU203" s="416"/>
      <c r="CV203" s="416"/>
      <c r="CW203" s="416"/>
      <c r="CX203" s="416"/>
      <c r="CY203" s="416"/>
      <c r="CZ203" s="416"/>
      <c r="DA203" s="416"/>
      <c r="DB203" s="416"/>
      <c r="DC203" s="416"/>
      <c r="DD203" s="416"/>
      <c r="DE203" s="416"/>
      <c r="DF203" s="416"/>
      <c r="DG203" s="416"/>
      <c r="DH203" s="416"/>
      <c r="DI203" s="416"/>
      <c r="DJ203" s="416"/>
      <c r="DK203" s="416"/>
      <c r="DL203" s="416"/>
      <c r="DM203" s="416"/>
      <c r="DN203" s="416"/>
      <c r="DO203" s="416"/>
      <c r="DP203" s="416"/>
      <c r="DQ203" s="416"/>
      <c r="DR203" s="416"/>
      <c r="DS203" s="416"/>
      <c r="DT203" s="416"/>
      <c r="DU203" s="416"/>
      <c r="DV203" s="416"/>
      <c r="DW203" s="416"/>
      <c r="DX203" s="416"/>
      <c r="DY203" s="416"/>
      <c r="DZ203" s="416"/>
      <c r="EA203" s="416"/>
      <c r="EB203" s="416"/>
      <c r="EC203" s="416"/>
      <c r="ED203" s="416"/>
      <c r="EE203" s="416"/>
      <c r="EF203" s="416"/>
      <c r="EG203" s="416"/>
      <c r="EH203" s="416"/>
      <c r="EI203" s="416"/>
      <c r="EJ203" s="416"/>
      <c r="EK203" s="416"/>
      <c r="EL203" s="416"/>
      <c r="EM203" s="416"/>
      <c r="EN203" s="416"/>
      <c r="EO203" s="416"/>
      <c r="EP203" s="416"/>
      <c r="EQ203" s="416"/>
      <c r="ER203" s="416"/>
      <c r="ES203" s="416"/>
      <c r="ET203" s="416"/>
      <c r="EU203" s="416"/>
      <c r="EV203" s="416"/>
      <c r="EW203" s="416"/>
      <c r="EX203" s="416"/>
      <c r="EY203" s="416"/>
      <c r="EZ203" s="416"/>
      <c r="FA203" s="416"/>
      <c r="FB203" s="416"/>
      <c r="FC203" s="416"/>
      <c r="FD203" s="416"/>
      <c r="FE203" s="416"/>
      <c r="FF203" s="416"/>
      <c r="FG203" s="416"/>
      <c r="FH203" s="416"/>
      <c r="FI203" s="416"/>
      <c r="FJ203" s="416"/>
      <c r="FK203" s="416"/>
      <c r="FL203" s="416"/>
      <c r="FM203" s="416"/>
      <c r="FN203" s="416"/>
      <c r="FO203" s="416"/>
      <c r="FP203" s="416"/>
      <c r="FQ203" s="416"/>
      <c r="FR203" s="416"/>
      <c r="FS203" s="416"/>
      <c r="FT203" s="416"/>
      <c r="FU203" s="416"/>
      <c r="FV203" s="416"/>
      <c r="FW203" s="416"/>
      <c r="FX203" s="416"/>
      <c r="FY203" s="416"/>
      <c r="FZ203" s="416"/>
      <c r="GA203" s="416"/>
      <c r="GB203" s="416"/>
      <c r="GC203" s="416"/>
      <c r="GD203" s="416"/>
      <c r="GE203" s="416"/>
      <c r="GF203" s="416"/>
      <c r="GG203" s="416"/>
      <c r="GH203" s="416"/>
      <c r="GI203" s="416"/>
      <c r="GJ203" s="416"/>
      <c r="GK203" s="416"/>
      <c r="GL203" s="416"/>
      <c r="GM203" s="416"/>
      <c r="GN203" s="416"/>
      <c r="GO203" s="416"/>
      <c r="GP203" s="416"/>
      <c r="GQ203" s="416"/>
      <c r="GR203" s="416"/>
      <c r="GS203" s="416"/>
      <c r="GT203" s="416"/>
      <c r="GU203" s="416"/>
      <c r="GV203" s="416"/>
      <c r="GW203" s="416"/>
      <c r="GX203" s="416"/>
      <c r="GY203" s="416"/>
      <c r="GZ203" s="416"/>
      <c r="HA203" s="416"/>
      <c r="HB203" s="416"/>
      <c r="HC203" s="416"/>
      <c r="HD203" s="416"/>
      <c r="HE203" s="416"/>
      <c r="HF203" s="416"/>
      <c r="HG203" s="416"/>
      <c r="HH203" s="416"/>
      <c r="HI203" s="416"/>
      <c r="HJ203" s="416"/>
      <c r="HK203" s="416"/>
      <c r="HL203" s="416"/>
      <c r="HM203" s="416"/>
      <c r="HN203" s="416"/>
      <c r="HO203" s="416"/>
      <c r="HP203" s="416"/>
      <c r="HQ203" s="416"/>
      <c r="HR203" s="416"/>
    </row>
    <row r="204" spans="1:226" s="418" customFormat="1" ht="15" customHeight="1">
      <c r="A204" s="1772"/>
      <c r="B204" s="1774"/>
      <c r="C204" s="1804"/>
      <c r="D204" s="1806"/>
      <c r="E204" s="1352" t="s">
        <v>411</v>
      </c>
      <c r="F204" s="1353">
        <f t="shared" ref="F204:F207" si="18">SUM(G204:J204)</f>
        <v>20000</v>
      </c>
      <c r="G204" s="1353"/>
      <c r="H204" s="1353">
        <v>20000</v>
      </c>
      <c r="I204" s="1353"/>
      <c r="J204" s="1354"/>
      <c r="K204" s="416"/>
    </row>
    <row r="205" spans="1:226" s="418" customFormat="1" ht="15" customHeight="1">
      <c r="A205" s="1772"/>
      <c r="B205" s="1774"/>
      <c r="C205" s="1804"/>
      <c r="D205" s="1806"/>
      <c r="E205" s="1352" t="s">
        <v>394</v>
      </c>
      <c r="F205" s="1353">
        <f t="shared" si="18"/>
        <v>360000</v>
      </c>
      <c r="G205" s="1353"/>
      <c r="H205" s="1353">
        <v>360000</v>
      </c>
      <c r="I205" s="1353"/>
      <c r="J205" s="1354"/>
      <c r="K205" s="416"/>
    </row>
    <row r="206" spans="1:226" s="418" customFormat="1" ht="15" customHeight="1">
      <c r="A206" s="1772"/>
      <c r="B206" s="1774"/>
      <c r="C206" s="1804"/>
      <c r="D206" s="1806"/>
      <c r="E206" s="1352" t="s">
        <v>412</v>
      </c>
      <c r="F206" s="1353">
        <f t="shared" si="18"/>
        <v>100000</v>
      </c>
      <c r="G206" s="1353"/>
      <c r="H206" s="1353">
        <v>100000</v>
      </c>
      <c r="I206" s="1353"/>
      <c r="J206" s="1354"/>
      <c r="K206" s="416"/>
    </row>
    <row r="207" spans="1:226" s="418" customFormat="1" ht="15" customHeight="1">
      <c r="A207" s="1772"/>
      <c r="B207" s="1774"/>
      <c r="C207" s="1804"/>
      <c r="D207" s="1806"/>
      <c r="E207" s="1352" t="s">
        <v>395</v>
      </c>
      <c r="F207" s="1353">
        <f t="shared" si="18"/>
        <v>50000</v>
      </c>
      <c r="G207" s="1353"/>
      <c r="H207" s="1353">
        <v>50000</v>
      </c>
      <c r="I207" s="1353"/>
      <c r="J207" s="1354"/>
      <c r="K207" s="416"/>
    </row>
    <row r="208" spans="1:226" s="418" customFormat="1" ht="15" customHeight="1">
      <c r="A208" s="1772"/>
      <c r="B208" s="1774"/>
      <c r="C208" s="1804"/>
      <c r="D208" s="1806"/>
      <c r="E208" s="1352" t="s">
        <v>413</v>
      </c>
      <c r="F208" s="1353">
        <f>SUM(G208:J208)</f>
        <v>200000</v>
      </c>
      <c r="G208" s="1353"/>
      <c r="H208" s="1353">
        <v>200000</v>
      </c>
      <c r="I208" s="1353"/>
      <c r="J208" s="1354"/>
      <c r="K208" s="416"/>
    </row>
    <row r="209" spans="1:226" s="418" customFormat="1" ht="15" customHeight="1">
      <c r="A209" s="1772"/>
      <c r="B209" s="1774"/>
      <c r="C209" s="1804"/>
      <c r="D209" s="1806"/>
      <c r="E209" s="1352" t="s">
        <v>396</v>
      </c>
      <c r="F209" s="1353">
        <f>SUM(G209:J209)</f>
        <v>80000</v>
      </c>
      <c r="G209" s="1353"/>
      <c r="H209" s="1353">
        <v>80000</v>
      </c>
      <c r="I209" s="1353"/>
      <c r="J209" s="1354"/>
      <c r="K209" s="416"/>
    </row>
    <row r="210" spans="1:226" s="418" customFormat="1" ht="12">
      <c r="A210" s="1772"/>
      <c r="B210" s="1774"/>
      <c r="C210" s="1804"/>
      <c r="D210" s="1806"/>
      <c r="E210" s="1355" t="s">
        <v>324</v>
      </c>
      <c r="F210" s="1347">
        <f>SUM(F211:F212)</f>
        <v>225263</v>
      </c>
      <c r="G210" s="1347">
        <f>SUM(G211:G212)</f>
        <v>0</v>
      </c>
      <c r="H210" s="1347">
        <f>SUM(H211:H212)</f>
        <v>225263</v>
      </c>
      <c r="I210" s="1347">
        <f>SUM(I211:I212)</f>
        <v>0</v>
      </c>
      <c r="J210" s="1348">
        <f>SUM(J211:J212)</f>
        <v>0</v>
      </c>
      <c r="K210" s="416"/>
    </row>
    <row r="211" spans="1:226" s="418" customFormat="1" ht="15" customHeight="1" thickBot="1">
      <c r="A211" s="1772"/>
      <c r="B211" s="1774"/>
      <c r="C211" s="1804"/>
      <c r="D211" s="1806"/>
      <c r="E211" s="1352" t="s">
        <v>406</v>
      </c>
      <c r="F211" s="1353">
        <f>SUM(G211:J211)</f>
        <v>225263</v>
      </c>
      <c r="G211" s="1353"/>
      <c r="H211" s="1353">
        <v>225263</v>
      </c>
      <c r="I211" s="1353"/>
      <c r="J211" s="1354"/>
      <c r="K211" s="416"/>
    </row>
    <row r="212" spans="1:226" s="418" customFormat="1" ht="15" hidden="1" customHeight="1">
      <c r="A212" s="1783"/>
      <c r="B212" s="1821"/>
      <c r="C212" s="1823"/>
      <c r="D212" s="1825"/>
      <c r="E212" s="1356"/>
      <c r="F212" s="1357">
        <f>SUM(G212:J212)</f>
        <v>0</v>
      </c>
      <c r="G212" s="1357"/>
      <c r="H212" s="1357"/>
      <c r="I212" s="1357"/>
      <c r="J212" s="1373"/>
      <c r="K212" s="416"/>
    </row>
    <row r="213" spans="1:226" s="418" customFormat="1" ht="22.5">
      <c r="A213" s="1782" t="s">
        <v>414</v>
      </c>
      <c r="B213" s="1833" t="s">
        <v>415</v>
      </c>
      <c r="C213" s="1822">
        <v>750</v>
      </c>
      <c r="D213" s="1824" t="s">
        <v>333</v>
      </c>
      <c r="E213" s="1361" t="s">
        <v>322</v>
      </c>
      <c r="F213" s="1362">
        <f>SUM(F214,F223)</f>
        <v>6001375</v>
      </c>
      <c r="G213" s="1362">
        <f>SUM(G214,G223)</f>
        <v>902756</v>
      </c>
      <c r="H213" s="1362">
        <f>SUM(H214,H223)</f>
        <v>5098619</v>
      </c>
      <c r="I213" s="1362">
        <f>SUM(I214,I223)</f>
        <v>0</v>
      </c>
      <c r="J213" s="1363">
        <f>SUM(J214,J223)</f>
        <v>0</v>
      </c>
      <c r="K213" s="416"/>
    </row>
    <row r="214" spans="1:226" s="418" customFormat="1" ht="21">
      <c r="A214" s="1772"/>
      <c r="B214" s="1774"/>
      <c r="C214" s="1804"/>
      <c r="D214" s="1806"/>
      <c r="E214" s="1346" t="s">
        <v>334</v>
      </c>
      <c r="F214" s="1347">
        <f>SUM(F215,F219)</f>
        <v>0</v>
      </c>
      <c r="G214" s="1347">
        <f>SUM(G215,G219)</f>
        <v>0</v>
      </c>
      <c r="H214" s="1347">
        <f>SUM(H215,H219)</f>
        <v>0</v>
      </c>
      <c r="I214" s="1347">
        <f>SUM(I215,I219)</f>
        <v>0</v>
      </c>
      <c r="J214" s="1348">
        <f>SUM(J215,J219)</f>
        <v>0</v>
      </c>
      <c r="K214" s="416"/>
    </row>
    <row r="215" spans="1:226" s="418" customFormat="1" ht="22.5" hidden="1">
      <c r="A215" s="1772"/>
      <c r="B215" s="1774"/>
      <c r="C215" s="1804"/>
      <c r="D215" s="1806"/>
      <c r="E215" s="1349" t="s">
        <v>335</v>
      </c>
      <c r="F215" s="1350">
        <f>SUM(F216:F218)</f>
        <v>0</v>
      </c>
      <c r="G215" s="1350">
        <f>SUM(G216:G218)</f>
        <v>0</v>
      </c>
      <c r="H215" s="1350">
        <f>SUM(H216:H218)</f>
        <v>0</v>
      </c>
      <c r="I215" s="1350">
        <f>SUM(I216:I218)</f>
        <v>0</v>
      </c>
      <c r="J215" s="1351">
        <f>SUM(J216:J218)</f>
        <v>0</v>
      </c>
      <c r="K215" s="416"/>
    </row>
    <row r="216" spans="1:226" s="418" customFormat="1" ht="15" hidden="1" customHeight="1">
      <c r="A216" s="1772"/>
      <c r="B216" s="1774"/>
      <c r="C216" s="1804"/>
      <c r="D216" s="1806"/>
      <c r="E216" s="1352"/>
      <c r="F216" s="1353">
        <f>SUM(G216:J216)</f>
        <v>0</v>
      </c>
      <c r="G216" s="1353"/>
      <c r="H216" s="1353"/>
      <c r="I216" s="1353"/>
      <c r="J216" s="1354"/>
      <c r="K216" s="416"/>
    </row>
    <row r="217" spans="1:226" s="418" customFormat="1" ht="15" hidden="1" customHeight="1">
      <c r="A217" s="1772"/>
      <c r="B217" s="1774"/>
      <c r="C217" s="1804"/>
      <c r="D217" s="1806"/>
      <c r="E217" s="1352"/>
      <c r="F217" s="1353">
        <f>SUM(G217:J217)</f>
        <v>0</v>
      </c>
      <c r="G217" s="1353"/>
      <c r="H217" s="1353"/>
      <c r="I217" s="1353"/>
      <c r="J217" s="1354"/>
      <c r="K217" s="416"/>
    </row>
    <row r="218" spans="1:226" s="418" customFormat="1" ht="15" hidden="1" customHeight="1">
      <c r="A218" s="1772"/>
      <c r="B218" s="1774"/>
      <c r="C218" s="1804"/>
      <c r="D218" s="1806"/>
      <c r="E218" s="1352"/>
      <c r="F218" s="1353">
        <f>SUM(G218:J218)</f>
        <v>0</v>
      </c>
      <c r="G218" s="1353"/>
      <c r="H218" s="1353"/>
      <c r="I218" s="1353"/>
      <c r="J218" s="1354"/>
      <c r="K218" s="416"/>
    </row>
    <row r="219" spans="1:226" s="418" customFormat="1" ht="24.95" hidden="1" customHeight="1">
      <c r="A219" s="1772"/>
      <c r="B219" s="1774"/>
      <c r="C219" s="1804"/>
      <c r="D219" s="1806"/>
      <c r="E219" s="1349" t="s">
        <v>340</v>
      </c>
      <c r="F219" s="1350">
        <f>SUM(F220:F222)</f>
        <v>0</v>
      </c>
      <c r="G219" s="1350">
        <f>SUM(G220:G222)</f>
        <v>0</v>
      </c>
      <c r="H219" s="1350">
        <f>SUM(H220:H222)</f>
        <v>0</v>
      </c>
      <c r="I219" s="1350">
        <f>SUM(I220:I222)</f>
        <v>0</v>
      </c>
      <c r="J219" s="1351">
        <f>SUM(J220:J222)</f>
        <v>0</v>
      </c>
      <c r="K219" s="416"/>
      <c r="L219" s="416"/>
      <c r="M219" s="416"/>
      <c r="N219" s="416"/>
      <c r="O219" s="416"/>
      <c r="P219" s="416"/>
      <c r="Q219" s="416"/>
      <c r="R219" s="416"/>
      <c r="S219" s="416"/>
      <c r="T219" s="416"/>
      <c r="U219" s="416"/>
      <c r="V219" s="416"/>
      <c r="W219" s="416"/>
      <c r="X219" s="416"/>
      <c r="Y219" s="416"/>
      <c r="Z219" s="416"/>
      <c r="AA219" s="416"/>
      <c r="AB219" s="416"/>
      <c r="AC219" s="416"/>
      <c r="AD219" s="416"/>
      <c r="AE219" s="416"/>
      <c r="AF219" s="416"/>
      <c r="AG219" s="416"/>
      <c r="AH219" s="416"/>
      <c r="AI219" s="416"/>
      <c r="AJ219" s="416"/>
      <c r="AK219" s="416"/>
      <c r="AL219" s="416"/>
      <c r="AM219" s="416"/>
      <c r="AN219" s="416"/>
      <c r="AO219" s="416"/>
      <c r="AP219" s="416"/>
      <c r="AQ219" s="416"/>
      <c r="AR219" s="416"/>
      <c r="AS219" s="416"/>
      <c r="AT219" s="416"/>
      <c r="AU219" s="416"/>
      <c r="AV219" s="416"/>
      <c r="AW219" s="416"/>
      <c r="AX219" s="416"/>
      <c r="AY219" s="416"/>
      <c r="AZ219" s="416"/>
      <c r="BA219" s="416"/>
      <c r="BB219" s="416"/>
      <c r="BC219" s="416"/>
      <c r="BD219" s="416"/>
      <c r="BE219" s="416"/>
      <c r="BF219" s="416"/>
      <c r="BG219" s="416"/>
      <c r="BH219" s="416"/>
      <c r="BI219" s="416"/>
      <c r="BJ219" s="416"/>
      <c r="BK219" s="416"/>
      <c r="BL219" s="416"/>
      <c r="BM219" s="416"/>
      <c r="BN219" s="416"/>
      <c r="BO219" s="416"/>
      <c r="BP219" s="416"/>
      <c r="BQ219" s="416"/>
      <c r="BR219" s="416"/>
      <c r="BS219" s="416"/>
      <c r="BT219" s="416"/>
      <c r="BU219" s="416"/>
      <c r="BV219" s="416"/>
      <c r="BW219" s="416"/>
      <c r="BX219" s="416"/>
      <c r="BY219" s="416"/>
      <c r="BZ219" s="416"/>
      <c r="CA219" s="416"/>
      <c r="CB219" s="416"/>
      <c r="CC219" s="416"/>
      <c r="CD219" s="416"/>
      <c r="CE219" s="416"/>
      <c r="CF219" s="416"/>
      <c r="CG219" s="416"/>
      <c r="CH219" s="416"/>
      <c r="CI219" s="416"/>
      <c r="CJ219" s="416"/>
      <c r="CK219" s="416"/>
      <c r="CL219" s="416"/>
      <c r="CM219" s="416"/>
      <c r="CN219" s="416"/>
      <c r="CO219" s="416"/>
      <c r="CP219" s="416"/>
      <c r="CQ219" s="416"/>
      <c r="CR219" s="416"/>
      <c r="CS219" s="416"/>
      <c r="CT219" s="416"/>
      <c r="CU219" s="416"/>
      <c r="CV219" s="416"/>
      <c r="CW219" s="416"/>
      <c r="CX219" s="416"/>
      <c r="CY219" s="416"/>
      <c r="CZ219" s="416"/>
      <c r="DA219" s="416"/>
      <c r="DB219" s="416"/>
      <c r="DC219" s="416"/>
      <c r="DD219" s="416"/>
      <c r="DE219" s="416"/>
      <c r="DF219" s="416"/>
      <c r="DG219" s="416"/>
      <c r="DH219" s="416"/>
      <c r="DI219" s="416"/>
      <c r="DJ219" s="416"/>
      <c r="DK219" s="416"/>
      <c r="DL219" s="416"/>
      <c r="DM219" s="416"/>
      <c r="DN219" s="416"/>
      <c r="DO219" s="416"/>
      <c r="DP219" s="416"/>
      <c r="DQ219" s="416"/>
      <c r="DR219" s="416"/>
      <c r="DS219" s="416"/>
      <c r="DT219" s="416"/>
      <c r="DU219" s="416"/>
      <c r="DV219" s="416"/>
      <c r="DW219" s="416"/>
      <c r="DX219" s="416"/>
      <c r="DY219" s="416"/>
      <c r="DZ219" s="416"/>
      <c r="EA219" s="416"/>
      <c r="EB219" s="416"/>
      <c r="EC219" s="416"/>
      <c r="ED219" s="416"/>
      <c r="EE219" s="416"/>
      <c r="EF219" s="416"/>
      <c r="EG219" s="416"/>
      <c r="EH219" s="416"/>
      <c r="EI219" s="416"/>
      <c r="EJ219" s="416"/>
      <c r="EK219" s="416"/>
      <c r="EL219" s="416"/>
      <c r="EM219" s="416"/>
      <c r="EN219" s="416"/>
      <c r="EO219" s="416"/>
      <c r="EP219" s="416"/>
      <c r="EQ219" s="416"/>
      <c r="ER219" s="416"/>
      <c r="ES219" s="416"/>
      <c r="ET219" s="416"/>
      <c r="EU219" s="416"/>
      <c r="EV219" s="416"/>
      <c r="EW219" s="416"/>
      <c r="EX219" s="416"/>
      <c r="EY219" s="416"/>
      <c r="EZ219" s="416"/>
      <c r="FA219" s="416"/>
      <c r="FB219" s="416"/>
      <c r="FC219" s="416"/>
      <c r="FD219" s="416"/>
      <c r="FE219" s="416"/>
      <c r="FF219" s="416"/>
      <c r="FG219" s="416"/>
      <c r="FH219" s="416"/>
      <c r="FI219" s="416"/>
      <c r="FJ219" s="416"/>
      <c r="FK219" s="416"/>
      <c r="FL219" s="416"/>
      <c r="FM219" s="416"/>
      <c r="FN219" s="416"/>
      <c r="FO219" s="416"/>
      <c r="FP219" s="416"/>
      <c r="FQ219" s="416"/>
      <c r="FR219" s="416"/>
      <c r="FS219" s="416"/>
      <c r="FT219" s="416"/>
      <c r="FU219" s="416"/>
      <c r="FV219" s="416"/>
      <c r="FW219" s="416"/>
      <c r="FX219" s="416"/>
      <c r="FY219" s="416"/>
      <c r="FZ219" s="416"/>
      <c r="GA219" s="416"/>
      <c r="GB219" s="416"/>
      <c r="GC219" s="416"/>
      <c r="GD219" s="416"/>
      <c r="GE219" s="416"/>
      <c r="GF219" s="416"/>
      <c r="GG219" s="416"/>
      <c r="GH219" s="416"/>
      <c r="GI219" s="416"/>
      <c r="GJ219" s="416"/>
      <c r="GK219" s="416"/>
      <c r="GL219" s="416"/>
      <c r="GM219" s="416"/>
      <c r="GN219" s="416"/>
      <c r="GO219" s="416"/>
      <c r="GP219" s="416"/>
      <c r="GQ219" s="416"/>
      <c r="GR219" s="416"/>
      <c r="GS219" s="416"/>
      <c r="GT219" s="416"/>
      <c r="GU219" s="416"/>
      <c r="GV219" s="416"/>
      <c r="GW219" s="416"/>
      <c r="GX219" s="416"/>
      <c r="GY219" s="416"/>
      <c r="GZ219" s="416"/>
      <c r="HA219" s="416"/>
      <c r="HB219" s="416"/>
      <c r="HC219" s="416"/>
      <c r="HD219" s="416"/>
      <c r="HE219" s="416"/>
      <c r="HF219" s="416"/>
      <c r="HG219" s="416"/>
      <c r="HH219" s="416"/>
      <c r="HI219" s="416"/>
      <c r="HJ219" s="416"/>
      <c r="HK219" s="416"/>
      <c r="HL219" s="416"/>
      <c r="HM219" s="416"/>
      <c r="HN219" s="416"/>
      <c r="HO219" s="416"/>
      <c r="HP219" s="416"/>
      <c r="HQ219" s="416"/>
      <c r="HR219" s="416"/>
    </row>
    <row r="220" spans="1:226" s="418" customFormat="1" ht="15" hidden="1" customHeight="1">
      <c r="A220" s="1772"/>
      <c r="B220" s="1774"/>
      <c r="C220" s="1804"/>
      <c r="D220" s="1806"/>
      <c r="E220" s="1352"/>
      <c r="F220" s="1353">
        <f>SUM(G220:J220)</f>
        <v>0</v>
      </c>
      <c r="G220" s="1353"/>
      <c r="H220" s="1353"/>
      <c r="I220" s="1353"/>
      <c r="J220" s="1354"/>
      <c r="K220" s="416"/>
    </row>
    <row r="221" spans="1:226" s="418" customFormat="1" ht="15" hidden="1" customHeight="1">
      <c r="A221" s="1772"/>
      <c r="B221" s="1774"/>
      <c r="C221" s="1804"/>
      <c r="D221" s="1806"/>
      <c r="E221" s="1352"/>
      <c r="F221" s="1353">
        <f t="shared" ref="F221:F222" si="19">SUM(G221:J221)</f>
        <v>0</v>
      </c>
      <c r="G221" s="1353"/>
      <c r="H221" s="1353"/>
      <c r="I221" s="1353"/>
      <c r="J221" s="1354"/>
      <c r="K221" s="416"/>
    </row>
    <row r="222" spans="1:226" s="418" customFormat="1" ht="15" hidden="1" customHeight="1">
      <c r="A222" s="1772"/>
      <c r="B222" s="1774"/>
      <c r="C222" s="1804"/>
      <c r="D222" s="1806"/>
      <c r="E222" s="1352"/>
      <c r="F222" s="1353">
        <f t="shared" si="19"/>
        <v>0</v>
      </c>
      <c r="G222" s="1353"/>
      <c r="H222" s="1353"/>
      <c r="I222" s="1353"/>
      <c r="J222" s="1354"/>
      <c r="K222" s="416"/>
    </row>
    <row r="223" spans="1:226" s="418" customFormat="1" ht="12">
      <c r="A223" s="1772"/>
      <c r="B223" s="1774"/>
      <c r="C223" s="1804"/>
      <c r="D223" s="1806"/>
      <c r="E223" s="1355" t="s">
        <v>324</v>
      </c>
      <c r="F223" s="1347">
        <f>SUM(F224:F226)</f>
        <v>6001375</v>
      </c>
      <c r="G223" s="1347">
        <f>SUM(G224:G226)</f>
        <v>902756</v>
      </c>
      <c r="H223" s="1347">
        <f>SUM(H224:H226)</f>
        <v>5098619</v>
      </c>
      <c r="I223" s="1347">
        <f>SUM(I224:I226)</f>
        <v>0</v>
      </c>
      <c r="J223" s="1348">
        <f>SUM(J224:J226)</f>
        <v>0</v>
      </c>
      <c r="K223" s="416"/>
    </row>
    <row r="224" spans="1:226" s="418" customFormat="1" ht="15" hidden="1" customHeight="1">
      <c r="A224" s="1772"/>
      <c r="B224" s="1774"/>
      <c r="C224" s="1804"/>
      <c r="D224" s="1806"/>
      <c r="E224" s="1352" t="s">
        <v>401</v>
      </c>
      <c r="F224" s="1353">
        <f>SUM(G224:J224)</f>
        <v>0</v>
      </c>
      <c r="G224" s="1353"/>
      <c r="H224" s="1353"/>
      <c r="I224" s="1353"/>
      <c r="J224" s="1354"/>
      <c r="K224" s="416"/>
    </row>
    <row r="225" spans="1:226" s="418" customFormat="1" ht="15" customHeight="1">
      <c r="A225" s="1772"/>
      <c r="B225" s="1774"/>
      <c r="C225" s="1804"/>
      <c r="D225" s="1806"/>
      <c r="E225" s="1352" t="s">
        <v>406</v>
      </c>
      <c r="F225" s="1353">
        <f>SUM(G225:J225)</f>
        <v>5098619</v>
      </c>
      <c r="G225" s="1353"/>
      <c r="H225" s="1353">
        <v>5098619</v>
      </c>
      <c r="I225" s="1353"/>
      <c r="J225" s="1354"/>
      <c r="K225" s="416"/>
    </row>
    <row r="226" spans="1:226" s="418" customFormat="1" ht="15" customHeight="1" thickBot="1">
      <c r="A226" s="1783"/>
      <c r="B226" s="1821"/>
      <c r="C226" s="1823"/>
      <c r="D226" s="1825"/>
      <c r="E226" s="1356">
        <v>6059</v>
      </c>
      <c r="F226" s="1357">
        <f>SUM(G226:J226)</f>
        <v>902756</v>
      </c>
      <c r="G226" s="1357">
        <v>902756</v>
      </c>
      <c r="H226" s="1357"/>
      <c r="I226" s="1357"/>
      <c r="J226" s="1373"/>
      <c r="K226" s="416"/>
    </row>
    <row r="227" spans="1:226" s="418" customFormat="1" ht="19.5" customHeight="1">
      <c r="A227" s="1829" t="s">
        <v>416</v>
      </c>
      <c r="B227" s="1830" t="s">
        <v>417</v>
      </c>
      <c r="C227" s="1831">
        <v>750</v>
      </c>
      <c r="D227" s="1832" t="s">
        <v>3</v>
      </c>
      <c r="E227" s="1340" t="s">
        <v>322</v>
      </c>
      <c r="F227" s="1341">
        <f>SUM(F228,F242)</f>
        <v>5500000</v>
      </c>
      <c r="G227" s="1341">
        <f>SUM(G228,G242)</f>
        <v>0</v>
      </c>
      <c r="H227" s="1341">
        <f>SUM(H228,H242)</f>
        <v>5500000</v>
      </c>
      <c r="I227" s="1341">
        <f>SUM(I228,I242)</f>
        <v>0</v>
      </c>
      <c r="J227" s="1342">
        <f>SUM(J228,J242)</f>
        <v>0</v>
      </c>
      <c r="K227" s="416"/>
    </row>
    <row r="228" spans="1:226" s="418" customFormat="1" ht="21">
      <c r="A228" s="1772"/>
      <c r="B228" s="1774"/>
      <c r="C228" s="1804"/>
      <c r="D228" s="1806"/>
      <c r="E228" s="1346" t="s">
        <v>334</v>
      </c>
      <c r="F228" s="1347">
        <f>SUM(F229,F234)</f>
        <v>5300000</v>
      </c>
      <c r="G228" s="1347">
        <f>SUM(G229,G234)</f>
        <v>0</v>
      </c>
      <c r="H228" s="1347">
        <f>SUM(H229,H234)</f>
        <v>5300000</v>
      </c>
      <c r="I228" s="1347">
        <f>SUM(I229,I234)</f>
        <v>0</v>
      </c>
      <c r="J228" s="1348">
        <f>SUM(J229,J234)</f>
        <v>0</v>
      </c>
      <c r="K228" s="416"/>
    </row>
    <row r="229" spans="1:226" s="418" customFormat="1" ht="21" customHeight="1">
      <c r="A229" s="1772"/>
      <c r="B229" s="1774"/>
      <c r="C229" s="1804"/>
      <c r="D229" s="1806"/>
      <c r="E229" s="1349" t="s">
        <v>335</v>
      </c>
      <c r="F229" s="1350">
        <f>SUM(F230:F233)</f>
        <v>439405</v>
      </c>
      <c r="G229" s="1350">
        <f>SUM(G230:G233)</f>
        <v>0</v>
      </c>
      <c r="H229" s="1350">
        <f>SUM(H230:H233)</f>
        <v>439405</v>
      </c>
      <c r="I229" s="1350">
        <f>SUM(I230:I233)</f>
        <v>0</v>
      </c>
      <c r="J229" s="1351">
        <f>SUM(J230:J233)</f>
        <v>0</v>
      </c>
      <c r="K229" s="416"/>
    </row>
    <row r="230" spans="1:226" s="418" customFormat="1" ht="14.1" customHeight="1">
      <c r="A230" s="1772"/>
      <c r="B230" s="1774"/>
      <c r="C230" s="1804"/>
      <c r="D230" s="1806"/>
      <c r="E230" s="1352" t="s">
        <v>391</v>
      </c>
      <c r="F230" s="1353">
        <f>SUM(G230:J230)</f>
        <v>350000</v>
      </c>
      <c r="G230" s="1353"/>
      <c r="H230" s="1353">
        <v>350000</v>
      </c>
      <c r="I230" s="1353"/>
      <c r="J230" s="1354"/>
      <c r="K230" s="416"/>
    </row>
    <row r="231" spans="1:226" s="418" customFormat="1" ht="14.1" customHeight="1">
      <c r="A231" s="1772"/>
      <c r="B231" s="1774"/>
      <c r="C231" s="1804"/>
      <c r="D231" s="1806"/>
      <c r="E231" s="1352" t="s">
        <v>392</v>
      </c>
      <c r="F231" s="1353">
        <f t="shared" ref="F231:F232" si="20">SUM(G231:J231)</f>
        <v>60830</v>
      </c>
      <c r="G231" s="1353"/>
      <c r="H231" s="1353">
        <v>60830</v>
      </c>
      <c r="I231" s="1353"/>
      <c r="J231" s="1354"/>
      <c r="K231" s="416"/>
    </row>
    <row r="232" spans="1:226" s="418" customFormat="1" ht="14.1" customHeight="1">
      <c r="A232" s="1772"/>
      <c r="B232" s="1774"/>
      <c r="C232" s="1804"/>
      <c r="D232" s="1806"/>
      <c r="E232" s="1352" t="s">
        <v>393</v>
      </c>
      <c r="F232" s="1353">
        <f t="shared" si="20"/>
        <v>8575</v>
      </c>
      <c r="G232" s="1353"/>
      <c r="H232" s="1353">
        <v>8575</v>
      </c>
      <c r="I232" s="1353"/>
      <c r="J232" s="1354"/>
      <c r="K232" s="416"/>
    </row>
    <row r="233" spans="1:226" s="418" customFormat="1" ht="14.1" customHeight="1">
      <c r="A233" s="1772"/>
      <c r="B233" s="1774"/>
      <c r="C233" s="1804"/>
      <c r="D233" s="1806"/>
      <c r="E233" s="1352" t="s">
        <v>410</v>
      </c>
      <c r="F233" s="1353">
        <f>SUM(G233:J233)</f>
        <v>20000</v>
      </c>
      <c r="G233" s="1353"/>
      <c r="H233" s="1353">
        <v>20000</v>
      </c>
      <c r="I233" s="1353"/>
      <c r="J233" s="1354"/>
      <c r="K233" s="416"/>
    </row>
    <row r="234" spans="1:226" s="418" customFormat="1" ht="20.25" customHeight="1">
      <c r="A234" s="1772"/>
      <c r="B234" s="1774"/>
      <c r="C234" s="1804"/>
      <c r="D234" s="1806"/>
      <c r="E234" s="1349" t="s">
        <v>340</v>
      </c>
      <c r="F234" s="1350">
        <f>SUM(F235:F241)</f>
        <v>4860595</v>
      </c>
      <c r="G234" s="1350">
        <f>SUM(G235:G241)</f>
        <v>0</v>
      </c>
      <c r="H234" s="1350">
        <f>SUM(H235:H241)</f>
        <v>4860595</v>
      </c>
      <c r="I234" s="1350">
        <f>SUM(I235:I241)</f>
        <v>0</v>
      </c>
      <c r="J234" s="1351">
        <f>SUM(J235:J241)</f>
        <v>0</v>
      </c>
      <c r="K234" s="416"/>
      <c r="L234" s="416"/>
      <c r="M234" s="416"/>
      <c r="N234" s="416"/>
      <c r="O234" s="416"/>
      <c r="P234" s="416"/>
      <c r="Q234" s="416"/>
      <c r="R234" s="416"/>
      <c r="S234" s="416"/>
      <c r="T234" s="416"/>
      <c r="U234" s="416"/>
      <c r="V234" s="416"/>
      <c r="W234" s="416"/>
      <c r="X234" s="416"/>
      <c r="Y234" s="416"/>
      <c r="Z234" s="416"/>
      <c r="AA234" s="416"/>
      <c r="AB234" s="416"/>
      <c r="AC234" s="416"/>
      <c r="AD234" s="416"/>
      <c r="AE234" s="416"/>
      <c r="AF234" s="416"/>
      <c r="AG234" s="416"/>
      <c r="AH234" s="416"/>
      <c r="AI234" s="416"/>
      <c r="AJ234" s="416"/>
      <c r="AK234" s="416"/>
      <c r="AL234" s="416"/>
      <c r="AM234" s="416"/>
      <c r="AN234" s="416"/>
      <c r="AO234" s="416"/>
      <c r="AP234" s="416"/>
      <c r="AQ234" s="416"/>
      <c r="AR234" s="416"/>
      <c r="AS234" s="416"/>
      <c r="AT234" s="416"/>
      <c r="AU234" s="416"/>
      <c r="AV234" s="416"/>
      <c r="AW234" s="416"/>
      <c r="AX234" s="416"/>
      <c r="AY234" s="416"/>
      <c r="AZ234" s="416"/>
      <c r="BA234" s="416"/>
      <c r="BB234" s="416"/>
      <c r="BC234" s="416"/>
      <c r="BD234" s="416"/>
      <c r="BE234" s="416"/>
      <c r="BF234" s="416"/>
      <c r="BG234" s="416"/>
      <c r="BH234" s="416"/>
      <c r="BI234" s="416"/>
      <c r="BJ234" s="416"/>
      <c r="BK234" s="416"/>
      <c r="BL234" s="416"/>
      <c r="BM234" s="416"/>
      <c r="BN234" s="416"/>
      <c r="BO234" s="416"/>
      <c r="BP234" s="416"/>
      <c r="BQ234" s="416"/>
      <c r="BR234" s="416"/>
      <c r="BS234" s="416"/>
      <c r="BT234" s="416"/>
      <c r="BU234" s="416"/>
      <c r="BV234" s="416"/>
      <c r="BW234" s="416"/>
      <c r="BX234" s="416"/>
      <c r="BY234" s="416"/>
      <c r="BZ234" s="416"/>
      <c r="CA234" s="416"/>
      <c r="CB234" s="416"/>
      <c r="CC234" s="416"/>
      <c r="CD234" s="416"/>
      <c r="CE234" s="416"/>
      <c r="CF234" s="416"/>
      <c r="CG234" s="416"/>
      <c r="CH234" s="416"/>
      <c r="CI234" s="416"/>
      <c r="CJ234" s="416"/>
      <c r="CK234" s="416"/>
      <c r="CL234" s="416"/>
      <c r="CM234" s="416"/>
      <c r="CN234" s="416"/>
      <c r="CO234" s="416"/>
      <c r="CP234" s="416"/>
      <c r="CQ234" s="416"/>
      <c r="CR234" s="416"/>
      <c r="CS234" s="416"/>
      <c r="CT234" s="416"/>
      <c r="CU234" s="416"/>
      <c r="CV234" s="416"/>
      <c r="CW234" s="416"/>
      <c r="CX234" s="416"/>
      <c r="CY234" s="416"/>
      <c r="CZ234" s="416"/>
      <c r="DA234" s="416"/>
      <c r="DB234" s="416"/>
      <c r="DC234" s="416"/>
      <c r="DD234" s="416"/>
      <c r="DE234" s="416"/>
      <c r="DF234" s="416"/>
      <c r="DG234" s="416"/>
      <c r="DH234" s="416"/>
      <c r="DI234" s="416"/>
      <c r="DJ234" s="416"/>
      <c r="DK234" s="416"/>
      <c r="DL234" s="416"/>
      <c r="DM234" s="416"/>
      <c r="DN234" s="416"/>
      <c r="DO234" s="416"/>
      <c r="DP234" s="416"/>
      <c r="DQ234" s="416"/>
      <c r="DR234" s="416"/>
      <c r="DS234" s="416"/>
      <c r="DT234" s="416"/>
      <c r="DU234" s="416"/>
      <c r="DV234" s="416"/>
      <c r="DW234" s="416"/>
      <c r="DX234" s="416"/>
      <c r="DY234" s="416"/>
      <c r="DZ234" s="416"/>
      <c r="EA234" s="416"/>
      <c r="EB234" s="416"/>
      <c r="EC234" s="416"/>
      <c r="ED234" s="416"/>
      <c r="EE234" s="416"/>
      <c r="EF234" s="416"/>
      <c r="EG234" s="416"/>
      <c r="EH234" s="416"/>
      <c r="EI234" s="416"/>
      <c r="EJ234" s="416"/>
      <c r="EK234" s="416"/>
      <c r="EL234" s="416"/>
      <c r="EM234" s="416"/>
      <c r="EN234" s="416"/>
      <c r="EO234" s="416"/>
      <c r="EP234" s="416"/>
      <c r="EQ234" s="416"/>
      <c r="ER234" s="416"/>
      <c r="ES234" s="416"/>
      <c r="ET234" s="416"/>
      <c r="EU234" s="416"/>
      <c r="EV234" s="416"/>
      <c r="EW234" s="416"/>
      <c r="EX234" s="416"/>
      <c r="EY234" s="416"/>
      <c r="EZ234" s="416"/>
      <c r="FA234" s="416"/>
      <c r="FB234" s="416"/>
      <c r="FC234" s="416"/>
      <c r="FD234" s="416"/>
      <c r="FE234" s="416"/>
      <c r="FF234" s="416"/>
      <c r="FG234" s="416"/>
      <c r="FH234" s="416"/>
      <c r="FI234" s="416"/>
      <c r="FJ234" s="416"/>
      <c r="FK234" s="416"/>
      <c r="FL234" s="416"/>
      <c r="FM234" s="416"/>
      <c r="FN234" s="416"/>
      <c r="FO234" s="416"/>
      <c r="FP234" s="416"/>
      <c r="FQ234" s="416"/>
      <c r="FR234" s="416"/>
      <c r="FS234" s="416"/>
      <c r="FT234" s="416"/>
      <c r="FU234" s="416"/>
      <c r="FV234" s="416"/>
      <c r="FW234" s="416"/>
      <c r="FX234" s="416"/>
      <c r="FY234" s="416"/>
      <c r="FZ234" s="416"/>
      <c r="GA234" s="416"/>
      <c r="GB234" s="416"/>
      <c r="GC234" s="416"/>
      <c r="GD234" s="416"/>
      <c r="GE234" s="416"/>
      <c r="GF234" s="416"/>
      <c r="GG234" s="416"/>
      <c r="GH234" s="416"/>
      <c r="GI234" s="416"/>
      <c r="GJ234" s="416"/>
      <c r="GK234" s="416"/>
      <c r="GL234" s="416"/>
      <c r="GM234" s="416"/>
      <c r="GN234" s="416"/>
      <c r="GO234" s="416"/>
      <c r="GP234" s="416"/>
      <c r="GQ234" s="416"/>
      <c r="GR234" s="416"/>
      <c r="GS234" s="416"/>
      <c r="GT234" s="416"/>
      <c r="GU234" s="416"/>
      <c r="GV234" s="416"/>
      <c r="GW234" s="416"/>
      <c r="GX234" s="416"/>
      <c r="GY234" s="416"/>
      <c r="GZ234" s="416"/>
      <c r="HA234" s="416"/>
      <c r="HB234" s="416"/>
      <c r="HC234" s="416"/>
      <c r="HD234" s="416"/>
      <c r="HE234" s="416"/>
      <c r="HF234" s="416"/>
      <c r="HG234" s="416"/>
      <c r="HH234" s="416"/>
      <c r="HI234" s="416"/>
      <c r="HJ234" s="416"/>
      <c r="HK234" s="416"/>
      <c r="HL234" s="416"/>
      <c r="HM234" s="416"/>
      <c r="HN234" s="416"/>
      <c r="HO234" s="416"/>
      <c r="HP234" s="416"/>
      <c r="HQ234" s="416"/>
      <c r="HR234" s="416"/>
    </row>
    <row r="235" spans="1:226" s="418" customFormat="1" ht="14.25" customHeight="1">
      <c r="A235" s="1772"/>
      <c r="B235" s="1774"/>
      <c r="C235" s="1804"/>
      <c r="D235" s="1806"/>
      <c r="E235" s="1352" t="s">
        <v>411</v>
      </c>
      <c r="F235" s="1353">
        <f>SUM(G235:J235)</f>
        <v>200000</v>
      </c>
      <c r="G235" s="1353"/>
      <c r="H235" s="1353">
        <v>200000</v>
      </c>
      <c r="I235" s="1353"/>
      <c r="J235" s="1354"/>
      <c r="K235" s="416"/>
    </row>
    <row r="236" spans="1:226" s="418" customFormat="1" ht="14.1" customHeight="1">
      <c r="A236" s="1772"/>
      <c r="B236" s="1774"/>
      <c r="C236" s="1804"/>
      <c r="D236" s="1806"/>
      <c r="E236" s="1352" t="s">
        <v>394</v>
      </c>
      <c r="F236" s="1353">
        <f t="shared" ref="F236:F241" si="21">SUM(G236:J236)</f>
        <v>4510595</v>
      </c>
      <c r="G236" s="1353"/>
      <c r="H236" s="1353">
        <v>4510595</v>
      </c>
      <c r="I236" s="1353"/>
      <c r="J236" s="1354"/>
      <c r="K236" s="416"/>
    </row>
    <row r="237" spans="1:226" s="418" customFormat="1" ht="14.1" customHeight="1">
      <c r="A237" s="1772"/>
      <c r="B237" s="1774"/>
      <c r="C237" s="1804"/>
      <c r="D237" s="1806"/>
      <c r="E237" s="1352" t="s">
        <v>412</v>
      </c>
      <c r="F237" s="1353">
        <f t="shared" si="21"/>
        <v>20000</v>
      </c>
      <c r="G237" s="1353"/>
      <c r="H237" s="1353">
        <v>20000</v>
      </c>
      <c r="I237" s="1353"/>
      <c r="J237" s="1354"/>
      <c r="K237" s="416"/>
    </row>
    <row r="238" spans="1:226" s="418" customFormat="1" ht="14.1" customHeight="1">
      <c r="A238" s="1772"/>
      <c r="B238" s="1774"/>
      <c r="C238" s="1804"/>
      <c r="D238" s="1806"/>
      <c r="E238" s="1352" t="s">
        <v>418</v>
      </c>
      <c r="F238" s="1353">
        <f t="shared" si="21"/>
        <v>20000</v>
      </c>
      <c r="G238" s="1353"/>
      <c r="H238" s="1353">
        <v>20000</v>
      </c>
      <c r="I238" s="1353"/>
      <c r="J238" s="1354"/>
      <c r="K238" s="416"/>
    </row>
    <row r="239" spans="1:226" s="418" customFormat="1" ht="14.1" customHeight="1">
      <c r="A239" s="1772"/>
      <c r="B239" s="1774"/>
      <c r="C239" s="1804"/>
      <c r="D239" s="1806"/>
      <c r="E239" s="1352" t="s">
        <v>395</v>
      </c>
      <c r="F239" s="1353">
        <f t="shared" si="21"/>
        <v>10000</v>
      </c>
      <c r="G239" s="1353"/>
      <c r="H239" s="1353">
        <v>10000</v>
      </c>
      <c r="I239" s="1353"/>
      <c r="J239" s="1354"/>
      <c r="K239" s="416"/>
    </row>
    <row r="240" spans="1:226" s="418" customFormat="1" ht="14.1" customHeight="1">
      <c r="A240" s="1772"/>
      <c r="B240" s="1774"/>
      <c r="C240" s="1804"/>
      <c r="D240" s="1806"/>
      <c r="E240" s="1352" t="s">
        <v>413</v>
      </c>
      <c r="F240" s="1353">
        <f t="shared" si="21"/>
        <v>70000</v>
      </c>
      <c r="G240" s="1353"/>
      <c r="H240" s="1353">
        <v>70000</v>
      </c>
      <c r="I240" s="1353"/>
      <c r="J240" s="1354"/>
      <c r="K240" s="416"/>
    </row>
    <row r="241" spans="1:226" s="418" customFormat="1" ht="14.1" customHeight="1">
      <c r="A241" s="1772"/>
      <c r="B241" s="1774"/>
      <c r="C241" s="1804"/>
      <c r="D241" s="1806"/>
      <c r="E241" s="1352" t="s">
        <v>396</v>
      </c>
      <c r="F241" s="1353">
        <f t="shared" si="21"/>
        <v>30000</v>
      </c>
      <c r="G241" s="1353"/>
      <c r="H241" s="1353">
        <v>30000</v>
      </c>
      <c r="I241" s="1353"/>
      <c r="J241" s="1354"/>
      <c r="K241" s="416"/>
    </row>
    <row r="242" spans="1:226" s="418" customFormat="1" ht="12">
      <c r="A242" s="1772"/>
      <c r="B242" s="1774"/>
      <c r="C242" s="1804"/>
      <c r="D242" s="1806"/>
      <c r="E242" s="1355" t="s">
        <v>324</v>
      </c>
      <c r="F242" s="1347">
        <f>SUM(F243:F244)</f>
        <v>200000</v>
      </c>
      <c r="G242" s="1347">
        <f>SUM(G243:G244)</f>
        <v>0</v>
      </c>
      <c r="H242" s="1347">
        <f>SUM(H243:H244)</f>
        <v>200000</v>
      </c>
      <c r="I242" s="1347">
        <f>SUM(I243:I244)</f>
        <v>0</v>
      </c>
      <c r="J242" s="1348">
        <f>SUM(J243:J244)</f>
        <v>0</v>
      </c>
      <c r="K242" s="416"/>
    </row>
    <row r="243" spans="1:226" s="418" customFormat="1" ht="15" hidden="1" customHeight="1">
      <c r="A243" s="1772"/>
      <c r="B243" s="1774"/>
      <c r="C243" s="1804"/>
      <c r="D243" s="1806"/>
      <c r="E243" s="1352" t="s">
        <v>401</v>
      </c>
      <c r="F243" s="1353">
        <f>SUM(G243:J243)</f>
        <v>0</v>
      </c>
      <c r="G243" s="1353"/>
      <c r="H243" s="1353"/>
      <c r="I243" s="1353"/>
      <c r="J243" s="1354"/>
      <c r="K243" s="416"/>
    </row>
    <row r="244" spans="1:226" s="418" customFormat="1" ht="14.1" customHeight="1" thickBot="1">
      <c r="A244" s="1773"/>
      <c r="B244" s="1775"/>
      <c r="C244" s="1805"/>
      <c r="D244" s="1807"/>
      <c r="E244" s="1358">
        <v>6067</v>
      </c>
      <c r="F244" s="1359">
        <f>SUM(G244:J244)</f>
        <v>200000</v>
      </c>
      <c r="G244" s="1359"/>
      <c r="H244" s="1359">
        <v>200000</v>
      </c>
      <c r="I244" s="1359"/>
      <c r="J244" s="1360"/>
      <c r="K244" s="416"/>
    </row>
    <row r="245" spans="1:226" s="418" customFormat="1" ht="21" customHeight="1">
      <c r="A245" s="1808" t="s">
        <v>419</v>
      </c>
      <c r="B245" s="1826" t="s">
        <v>420</v>
      </c>
      <c r="C245" s="1814">
        <v>854</v>
      </c>
      <c r="D245" s="1817" t="s">
        <v>421</v>
      </c>
      <c r="E245" s="1361" t="s">
        <v>322</v>
      </c>
      <c r="F245" s="1362">
        <f>SUM(F246,F265)</f>
        <v>1268500</v>
      </c>
      <c r="G245" s="1362">
        <f>SUM(G246,G265)</f>
        <v>63425</v>
      </c>
      <c r="H245" s="1362">
        <f>SUM(H246,H265)</f>
        <v>1078225</v>
      </c>
      <c r="I245" s="1362">
        <f>SUM(I246,I265)</f>
        <v>126850</v>
      </c>
      <c r="J245" s="1363">
        <f>SUM(J246,J265)</f>
        <v>0</v>
      </c>
      <c r="K245" s="416"/>
    </row>
    <row r="246" spans="1:226" s="418" customFormat="1" ht="21">
      <c r="A246" s="1809"/>
      <c r="B246" s="1827"/>
      <c r="C246" s="1815"/>
      <c r="D246" s="1818"/>
      <c r="E246" s="1346" t="s">
        <v>334</v>
      </c>
      <c r="F246" s="1347">
        <f>SUM(F247,F254)</f>
        <v>1268500</v>
      </c>
      <c r="G246" s="1347">
        <f>SUM(G247,G254)</f>
        <v>63425</v>
      </c>
      <c r="H246" s="1347">
        <f>SUM(H247,H254)</f>
        <v>1078225</v>
      </c>
      <c r="I246" s="1347">
        <f>SUM(I247,I254)</f>
        <v>126850</v>
      </c>
      <c r="J246" s="1348">
        <f>SUM(J247,J254)</f>
        <v>0</v>
      </c>
      <c r="K246" s="416"/>
    </row>
    <row r="247" spans="1:226" s="418" customFormat="1" ht="21" customHeight="1">
      <c r="A247" s="1809"/>
      <c r="B247" s="1827"/>
      <c r="C247" s="1815"/>
      <c r="D247" s="1818"/>
      <c r="E247" s="1349" t="s">
        <v>335</v>
      </c>
      <c r="F247" s="1350">
        <f>SUM(F248:F253)</f>
        <v>79650</v>
      </c>
      <c r="G247" s="1350">
        <f>SUM(G248:G253)</f>
        <v>3983</v>
      </c>
      <c r="H247" s="1350">
        <f>SUM(H248:H253)</f>
        <v>67702</v>
      </c>
      <c r="I247" s="1350">
        <f>SUM(I248:I253)</f>
        <v>7965</v>
      </c>
      <c r="J247" s="1351">
        <f>SUM(J248:J253)</f>
        <v>0</v>
      </c>
      <c r="K247" s="416"/>
    </row>
    <row r="248" spans="1:226" s="418" customFormat="1" ht="14.1" customHeight="1">
      <c r="A248" s="1809"/>
      <c r="B248" s="1827"/>
      <c r="C248" s="1815"/>
      <c r="D248" s="1818"/>
      <c r="E248" s="1352" t="s">
        <v>391</v>
      </c>
      <c r="F248" s="1353">
        <f>SUM(G248:J248)</f>
        <v>56499</v>
      </c>
      <c r="G248" s="1353"/>
      <c r="H248" s="1353">
        <v>56499</v>
      </c>
      <c r="I248" s="1353"/>
      <c r="J248" s="1354"/>
      <c r="K248" s="416"/>
    </row>
    <row r="249" spans="1:226" s="418" customFormat="1" ht="14.1" customHeight="1">
      <c r="A249" s="1809"/>
      <c r="B249" s="1827"/>
      <c r="C249" s="1815"/>
      <c r="D249" s="1818"/>
      <c r="E249" s="1352" t="s">
        <v>363</v>
      </c>
      <c r="F249" s="1353">
        <f t="shared" ref="F249:F251" si="22">SUM(G249:J249)</f>
        <v>9971</v>
      </c>
      <c r="G249" s="1353">
        <v>3324</v>
      </c>
      <c r="H249" s="1353"/>
      <c r="I249" s="1353">
        <v>6647</v>
      </c>
      <c r="J249" s="1354"/>
      <c r="K249" s="416"/>
    </row>
    <row r="250" spans="1:226" s="418" customFormat="1" ht="14.1" customHeight="1">
      <c r="A250" s="1809"/>
      <c r="B250" s="1827"/>
      <c r="C250" s="1815"/>
      <c r="D250" s="1818"/>
      <c r="E250" s="1352" t="s">
        <v>392</v>
      </c>
      <c r="F250" s="1353">
        <f t="shared" si="22"/>
        <v>9819</v>
      </c>
      <c r="G250" s="1353"/>
      <c r="H250" s="1353">
        <v>9819</v>
      </c>
      <c r="I250" s="1353"/>
      <c r="J250" s="1354"/>
      <c r="K250" s="416"/>
    </row>
    <row r="251" spans="1:226" s="418" customFormat="1" ht="14.1" customHeight="1">
      <c r="A251" s="1809"/>
      <c r="B251" s="1827"/>
      <c r="C251" s="1815"/>
      <c r="D251" s="1818"/>
      <c r="E251" s="1352" t="s">
        <v>337</v>
      </c>
      <c r="F251" s="1353">
        <f t="shared" si="22"/>
        <v>1733</v>
      </c>
      <c r="G251" s="1353">
        <v>578</v>
      </c>
      <c r="H251" s="1353"/>
      <c r="I251" s="1353">
        <v>1155</v>
      </c>
      <c r="J251" s="1354"/>
      <c r="K251" s="416"/>
    </row>
    <row r="252" spans="1:226" s="418" customFormat="1" ht="14.1" customHeight="1">
      <c r="A252" s="1809"/>
      <c r="B252" s="1827"/>
      <c r="C252" s="1815"/>
      <c r="D252" s="1818"/>
      <c r="E252" s="1352" t="s">
        <v>393</v>
      </c>
      <c r="F252" s="1353">
        <f>SUM(G252:J252)</f>
        <v>1384</v>
      </c>
      <c r="G252" s="1353"/>
      <c r="H252" s="1353">
        <v>1384</v>
      </c>
      <c r="I252" s="1353"/>
      <c r="J252" s="1354"/>
      <c r="K252" s="416"/>
    </row>
    <row r="253" spans="1:226" s="418" customFormat="1" ht="14.1" customHeight="1">
      <c r="A253" s="1809"/>
      <c r="B253" s="1827"/>
      <c r="C253" s="1815"/>
      <c r="D253" s="1818"/>
      <c r="E253" s="1352" t="s">
        <v>367</v>
      </c>
      <c r="F253" s="1353">
        <f>SUM(G253:J253)</f>
        <v>244</v>
      </c>
      <c r="G253" s="1353">
        <v>81</v>
      </c>
      <c r="H253" s="1353"/>
      <c r="I253" s="1353">
        <v>163</v>
      </c>
      <c r="J253" s="1354"/>
      <c r="K253" s="416"/>
    </row>
    <row r="254" spans="1:226" s="418" customFormat="1" ht="20.25" customHeight="1">
      <c r="A254" s="1809"/>
      <c r="B254" s="1827"/>
      <c r="C254" s="1815"/>
      <c r="D254" s="1818"/>
      <c r="E254" s="1349" t="s">
        <v>340</v>
      </c>
      <c r="F254" s="1350">
        <f>SUM(F255:F264)</f>
        <v>1188850</v>
      </c>
      <c r="G254" s="1350">
        <f>SUM(G255:G264)</f>
        <v>59442</v>
      </c>
      <c r="H254" s="1350">
        <f>SUM(H255:H264)</f>
        <v>1010523</v>
      </c>
      <c r="I254" s="1350">
        <f>SUM(I255:I264)</f>
        <v>118885</v>
      </c>
      <c r="J254" s="1351">
        <f>SUM(J255:J264)</f>
        <v>0</v>
      </c>
      <c r="K254" s="416"/>
      <c r="L254" s="416"/>
      <c r="M254" s="416"/>
      <c r="N254" s="416"/>
      <c r="O254" s="416"/>
      <c r="P254" s="416"/>
      <c r="Q254" s="416"/>
      <c r="R254" s="416"/>
      <c r="S254" s="416"/>
      <c r="T254" s="416"/>
      <c r="U254" s="416"/>
      <c r="V254" s="416"/>
      <c r="W254" s="416"/>
      <c r="X254" s="416"/>
      <c r="Y254" s="416"/>
      <c r="Z254" s="416"/>
      <c r="AA254" s="416"/>
      <c r="AB254" s="416"/>
      <c r="AC254" s="416"/>
      <c r="AD254" s="416"/>
      <c r="AE254" s="416"/>
      <c r="AF254" s="416"/>
      <c r="AG254" s="416"/>
      <c r="AH254" s="416"/>
      <c r="AI254" s="416"/>
      <c r="AJ254" s="416"/>
      <c r="AK254" s="416"/>
      <c r="AL254" s="416"/>
      <c r="AM254" s="416"/>
      <c r="AN254" s="416"/>
      <c r="AO254" s="416"/>
      <c r="AP254" s="416"/>
      <c r="AQ254" s="416"/>
      <c r="AR254" s="416"/>
      <c r="AS254" s="416"/>
      <c r="AT254" s="416"/>
      <c r="AU254" s="416"/>
      <c r="AV254" s="416"/>
      <c r="AW254" s="416"/>
      <c r="AX254" s="416"/>
      <c r="AY254" s="416"/>
      <c r="AZ254" s="416"/>
      <c r="BA254" s="416"/>
      <c r="BB254" s="416"/>
      <c r="BC254" s="416"/>
      <c r="BD254" s="416"/>
      <c r="BE254" s="416"/>
      <c r="BF254" s="416"/>
      <c r="BG254" s="416"/>
      <c r="BH254" s="416"/>
      <c r="BI254" s="416"/>
      <c r="BJ254" s="416"/>
      <c r="BK254" s="416"/>
      <c r="BL254" s="416"/>
      <c r="BM254" s="416"/>
      <c r="BN254" s="416"/>
      <c r="BO254" s="416"/>
      <c r="BP254" s="416"/>
      <c r="BQ254" s="416"/>
      <c r="BR254" s="416"/>
      <c r="BS254" s="416"/>
      <c r="BT254" s="416"/>
      <c r="BU254" s="416"/>
      <c r="BV254" s="416"/>
      <c r="BW254" s="416"/>
      <c r="BX254" s="416"/>
      <c r="BY254" s="416"/>
      <c r="BZ254" s="416"/>
      <c r="CA254" s="416"/>
      <c r="CB254" s="416"/>
      <c r="CC254" s="416"/>
      <c r="CD254" s="416"/>
      <c r="CE254" s="416"/>
      <c r="CF254" s="416"/>
      <c r="CG254" s="416"/>
      <c r="CH254" s="416"/>
      <c r="CI254" s="416"/>
      <c r="CJ254" s="416"/>
      <c r="CK254" s="416"/>
      <c r="CL254" s="416"/>
      <c r="CM254" s="416"/>
      <c r="CN254" s="416"/>
      <c r="CO254" s="416"/>
      <c r="CP254" s="416"/>
      <c r="CQ254" s="416"/>
      <c r="CR254" s="416"/>
      <c r="CS254" s="416"/>
      <c r="CT254" s="416"/>
      <c r="CU254" s="416"/>
      <c r="CV254" s="416"/>
      <c r="CW254" s="416"/>
      <c r="CX254" s="416"/>
      <c r="CY254" s="416"/>
      <c r="CZ254" s="416"/>
      <c r="DA254" s="416"/>
      <c r="DB254" s="416"/>
      <c r="DC254" s="416"/>
      <c r="DD254" s="416"/>
      <c r="DE254" s="416"/>
      <c r="DF254" s="416"/>
      <c r="DG254" s="416"/>
      <c r="DH254" s="416"/>
      <c r="DI254" s="416"/>
      <c r="DJ254" s="416"/>
      <c r="DK254" s="416"/>
      <c r="DL254" s="416"/>
      <c r="DM254" s="416"/>
      <c r="DN254" s="416"/>
      <c r="DO254" s="416"/>
      <c r="DP254" s="416"/>
      <c r="DQ254" s="416"/>
      <c r="DR254" s="416"/>
      <c r="DS254" s="416"/>
      <c r="DT254" s="416"/>
      <c r="DU254" s="416"/>
      <c r="DV254" s="416"/>
      <c r="DW254" s="416"/>
      <c r="DX254" s="416"/>
      <c r="DY254" s="416"/>
      <c r="DZ254" s="416"/>
      <c r="EA254" s="416"/>
      <c r="EB254" s="416"/>
      <c r="EC254" s="416"/>
      <c r="ED254" s="416"/>
      <c r="EE254" s="416"/>
      <c r="EF254" s="416"/>
      <c r="EG254" s="416"/>
      <c r="EH254" s="416"/>
      <c r="EI254" s="416"/>
      <c r="EJ254" s="416"/>
      <c r="EK254" s="416"/>
      <c r="EL254" s="416"/>
      <c r="EM254" s="416"/>
      <c r="EN254" s="416"/>
      <c r="EO254" s="416"/>
      <c r="EP254" s="416"/>
      <c r="EQ254" s="416"/>
      <c r="ER254" s="416"/>
      <c r="ES254" s="416"/>
      <c r="ET254" s="416"/>
      <c r="EU254" s="416"/>
      <c r="EV254" s="416"/>
      <c r="EW254" s="416"/>
      <c r="EX254" s="416"/>
      <c r="EY254" s="416"/>
      <c r="EZ254" s="416"/>
      <c r="FA254" s="416"/>
      <c r="FB254" s="416"/>
      <c r="FC254" s="416"/>
      <c r="FD254" s="416"/>
      <c r="FE254" s="416"/>
      <c r="FF254" s="416"/>
      <c r="FG254" s="416"/>
      <c r="FH254" s="416"/>
      <c r="FI254" s="416"/>
      <c r="FJ254" s="416"/>
      <c r="FK254" s="416"/>
      <c r="FL254" s="416"/>
      <c r="FM254" s="416"/>
      <c r="FN254" s="416"/>
      <c r="FO254" s="416"/>
      <c r="FP254" s="416"/>
      <c r="FQ254" s="416"/>
      <c r="FR254" s="416"/>
      <c r="FS254" s="416"/>
      <c r="FT254" s="416"/>
      <c r="FU254" s="416"/>
      <c r="FV254" s="416"/>
      <c r="FW254" s="416"/>
      <c r="FX254" s="416"/>
      <c r="FY254" s="416"/>
      <c r="FZ254" s="416"/>
      <c r="GA254" s="416"/>
      <c r="GB254" s="416"/>
      <c r="GC254" s="416"/>
      <c r="GD254" s="416"/>
      <c r="GE254" s="416"/>
      <c r="GF254" s="416"/>
      <c r="GG254" s="416"/>
      <c r="GH254" s="416"/>
      <c r="GI254" s="416"/>
      <c r="GJ254" s="416"/>
      <c r="GK254" s="416"/>
      <c r="GL254" s="416"/>
      <c r="GM254" s="416"/>
      <c r="GN254" s="416"/>
      <c r="GO254" s="416"/>
      <c r="GP254" s="416"/>
      <c r="GQ254" s="416"/>
      <c r="GR254" s="416"/>
      <c r="GS254" s="416"/>
      <c r="GT254" s="416"/>
      <c r="GU254" s="416"/>
      <c r="GV254" s="416"/>
      <c r="GW254" s="416"/>
      <c r="GX254" s="416"/>
      <c r="GY254" s="416"/>
      <c r="GZ254" s="416"/>
      <c r="HA254" s="416"/>
      <c r="HB254" s="416"/>
      <c r="HC254" s="416"/>
      <c r="HD254" s="416"/>
      <c r="HE254" s="416"/>
      <c r="HF254" s="416"/>
      <c r="HG254" s="416"/>
      <c r="HH254" s="416"/>
      <c r="HI254" s="416"/>
      <c r="HJ254" s="416"/>
      <c r="HK254" s="416"/>
      <c r="HL254" s="416"/>
      <c r="HM254" s="416"/>
      <c r="HN254" s="416"/>
      <c r="HO254" s="416"/>
      <c r="HP254" s="416"/>
      <c r="HQ254" s="416"/>
      <c r="HR254" s="416"/>
    </row>
    <row r="255" spans="1:226" s="418" customFormat="1" ht="14.1" customHeight="1">
      <c r="A255" s="1809"/>
      <c r="B255" s="1827"/>
      <c r="C255" s="1815"/>
      <c r="D255" s="1818"/>
      <c r="E255" s="1352" t="s">
        <v>422</v>
      </c>
      <c r="F255" s="1353">
        <f>SUM(G255:J255)</f>
        <v>1003000</v>
      </c>
      <c r="G255" s="1353"/>
      <c r="H255" s="1353">
        <v>1003000</v>
      </c>
      <c r="I255" s="1353"/>
      <c r="J255" s="1354"/>
      <c r="K255" s="416"/>
    </row>
    <row r="256" spans="1:226" s="418" customFormat="1" ht="14.1" customHeight="1">
      <c r="A256" s="1809"/>
      <c r="B256" s="1827"/>
      <c r="C256" s="1815"/>
      <c r="D256" s="1818"/>
      <c r="E256" s="1352" t="s">
        <v>423</v>
      </c>
      <c r="F256" s="1353">
        <f t="shared" ref="F256:F263" si="23">SUM(G256:J256)</f>
        <v>177000</v>
      </c>
      <c r="G256" s="1353">
        <v>59000</v>
      </c>
      <c r="H256" s="1353"/>
      <c r="I256" s="1353">
        <v>118000</v>
      </c>
      <c r="J256" s="1354"/>
      <c r="K256" s="416"/>
    </row>
    <row r="257" spans="1:11" s="418" customFormat="1" ht="14.1" customHeight="1">
      <c r="A257" s="1809"/>
      <c r="B257" s="1827"/>
      <c r="C257" s="1815"/>
      <c r="D257" s="1818"/>
      <c r="E257" s="1352" t="s">
        <v>411</v>
      </c>
      <c r="F257" s="1353">
        <f t="shared" si="23"/>
        <v>4514</v>
      </c>
      <c r="G257" s="1353"/>
      <c r="H257" s="1353">
        <v>4514</v>
      </c>
      <c r="I257" s="1353"/>
      <c r="J257" s="1354"/>
      <c r="K257" s="416"/>
    </row>
    <row r="258" spans="1:11" s="418" customFormat="1" ht="14.1" customHeight="1">
      <c r="A258" s="1809"/>
      <c r="B258" s="1827"/>
      <c r="C258" s="1815"/>
      <c r="D258" s="1818"/>
      <c r="E258" s="1352" t="s">
        <v>342</v>
      </c>
      <c r="F258" s="1353">
        <f t="shared" si="23"/>
        <v>796</v>
      </c>
      <c r="G258" s="1353">
        <v>265</v>
      </c>
      <c r="H258" s="1353"/>
      <c r="I258" s="1353">
        <v>531</v>
      </c>
      <c r="J258" s="1354"/>
      <c r="K258" s="416"/>
    </row>
    <row r="259" spans="1:11" s="418" customFormat="1" ht="14.1" customHeight="1">
      <c r="A259" s="1809"/>
      <c r="B259" s="1827"/>
      <c r="C259" s="1815"/>
      <c r="D259" s="1818"/>
      <c r="E259" s="1352" t="s">
        <v>424</v>
      </c>
      <c r="F259" s="1353">
        <f t="shared" si="23"/>
        <v>1505</v>
      </c>
      <c r="G259" s="1353"/>
      <c r="H259" s="1353">
        <v>1505</v>
      </c>
      <c r="I259" s="1353"/>
      <c r="J259" s="1354"/>
      <c r="K259" s="416"/>
    </row>
    <row r="260" spans="1:11" s="418" customFormat="1" ht="14.1" customHeight="1">
      <c r="A260" s="1809"/>
      <c r="B260" s="1827"/>
      <c r="C260" s="1815"/>
      <c r="D260" s="1818"/>
      <c r="E260" s="1352" t="s">
        <v>373</v>
      </c>
      <c r="F260" s="1353">
        <f t="shared" si="23"/>
        <v>265</v>
      </c>
      <c r="G260" s="1353">
        <v>88</v>
      </c>
      <c r="H260" s="1353"/>
      <c r="I260" s="1353">
        <v>177</v>
      </c>
      <c r="J260" s="1354"/>
      <c r="K260" s="416"/>
    </row>
    <row r="261" spans="1:11" s="418" customFormat="1" ht="14.1" customHeight="1">
      <c r="A261" s="1809"/>
      <c r="B261" s="1827"/>
      <c r="C261" s="1815"/>
      <c r="D261" s="1818"/>
      <c r="E261" s="1352" t="s">
        <v>394</v>
      </c>
      <c r="F261" s="1353">
        <f t="shared" si="23"/>
        <v>752</v>
      </c>
      <c r="G261" s="1353"/>
      <c r="H261" s="1353">
        <v>752</v>
      </c>
      <c r="I261" s="1353"/>
      <c r="J261" s="1354"/>
      <c r="K261" s="416"/>
    </row>
    <row r="262" spans="1:11" s="418" customFormat="1" ht="14.1" customHeight="1">
      <c r="A262" s="1809"/>
      <c r="B262" s="1827"/>
      <c r="C262" s="1815"/>
      <c r="D262" s="1818"/>
      <c r="E262" s="1352" t="s">
        <v>344</v>
      </c>
      <c r="F262" s="1353">
        <f t="shared" si="23"/>
        <v>133</v>
      </c>
      <c r="G262" s="1353">
        <v>45</v>
      </c>
      <c r="H262" s="1353"/>
      <c r="I262" s="1353">
        <v>88</v>
      </c>
      <c r="J262" s="1354"/>
      <c r="K262" s="416"/>
    </row>
    <row r="263" spans="1:11" s="418" customFormat="1" ht="14.1" customHeight="1">
      <c r="A263" s="1809"/>
      <c r="B263" s="1827"/>
      <c r="C263" s="1815"/>
      <c r="D263" s="1818"/>
      <c r="E263" s="1352" t="s">
        <v>425</v>
      </c>
      <c r="F263" s="1353">
        <f t="shared" si="23"/>
        <v>752</v>
      </c>
      <c r="G263" s="1353"/>
      <c r="H263" s="1353">
        <v>752</v>
      </c>
      <c r="I263" s="1353"/>
      <c r="J263" s="1354"/>
      <c r="K263" s="416"/>
    </row>
    <row r="264" spans="1:11" s="418" customFormat="1" ht="14.1" customHeight="1">
      <c r="A264" s="1809"/>
      <c r="B264" s="1827"/>
      <c r="C264" s="1815"/>
      <c r="D264" s="1818"/>
      <c r="E264" s="1352" t="s">
        <v>426</v>
      </c>
      <c r="F264" s="1353">
        <f>SUM(G264:J264)</f>
        <v>133</v>
      </c>
      <c r="G264" s="1353">
        <v>44</v>
      </c>
      <c r="H264" s="1353"/>
      <c r="I264" s="1353">
        <v>89</v>
      </c>
      <c r="J264" s="1354"/>
      <c r="K264" s="416"/>
    </row>
    <row r="265" spans="1:11" s="418" customFormat="1" thickBot="1">
      <c r="A265" s="1810"/>
      <c r="B265" s="1828"/>
      <c r="C265" s="1816"/>
      <c r="D265" s="1819"/>
      <c r="E265" s="1364" t="s">
        <v>324</v>
      </c>
      <c r="F265" s="1365">
        <f>SUM(F266:F267)</f>
        <v>0</v>
      </c>
      <c r="G265" s="1365">
        <f>SUM(G266:G267)</f>
        <v>0</v>
      </c>
      <c r="H265" s="1365">
        <f>SUM(H266:H267)</f>
        <v>0</v>
      </c>
      <c r="I265" s="1365">
        <f>SUM(I266:I267)</f>
        <v>0</v>
      </c>
      <c r="J265" s="1366">
        <f>SUM(J266:J267)</f>
        <v>0</v>
      </c>
      <c r="K265" s="416"/>
    </row>
    <row r="266" spans="1:11" s="418" customFormat="1" ht="15" hidden="1" customHeight="1">
      <c r="A266" s="426"/>
      <c r="B266" s="1378"/>
      <c r="C266" s="1368"/>
      <c r="D266" s="1369"/>
      <c r="E266" s="424"/>
      <c r="F266" s="425">
        <f>SUM(G266:J266)</f>
        <v>0</v>
      </c>
      <c r="G266" s="425"/>
      <c r="H266" s="425"/>
      <c r="I266" s="425"/>
      <c r="J266" s="1403"/>
      <c r="K266" s="416"/>
    </row>
    <row r="267" spans="1:11" s="418" customFormat="1" ht="15" hidden="1" customHeight="1">
      <c r="A267" s="420"/>
      <c r="B267" s="421"/>
      <c r="C267" s="422"/>
      <c r="D267" s="423"/>
      <c r="E267" s="1404"/>
      <c r="F267" s="1405">
        <f>SUM(G267:J267)</f>
        <v>0</v>
      </c>
      <c r="G267" s="1405"/>
      <c r="H267" s="1405"/>
      <c r="I267" s="1405"/>
      <c r="J267" s="1406"/>
      <c r="K267" s="416"/>
    </row>
    <row r="268" spans="1:11" s="418" customFormat="1" ht="22.5" customHeight="1">
      <c r="A268" s="1773" t="s">
        <v>427</v>
      </c>
      <c r="B268" s="1775" t="s">
        <v>428</v>
      </c>
      <c r="C268" s="1805">
        <v>854</v>
      </c>
      <c r="D268" s="1807" t="s">
        <v>421</v>
      </c>
      <c r="E268" s="1343" t="s">
        <v>322</v>
      </c>
      <c r="F268" s="1344">
        <f>SUM(F269,F288)</f>
        <v>847000</v>
      </c>
      <c r="G268" s="1344">
        <f>SUM(G269,G288)</f>
        <v>84700</v>
      </c>
      <c r="H268" s="1344">
        <f>SUM(H269,H288)</f>
        <v>719950</v>
      </c>
      <c r="I268" s="1344">
        <f>SUM(I269,I288)</f>
        <v>42350</v>
      </c>
      <c r="J268" s="1345">
        <f>SUM(J269,J288)</f>
        <v>0</v>
      </c>
      <c r="K268" s="416"/>
    </row>
    <row r="269" spans="1:11" s="418" customFormat="1" ht="21">
      <c r="A269" s="1809"/>
      <c r="B269" s="1827"/>
      <c r="C269" s="1815"/>
      <c r="D269" s="1818"/>
      <c r="E269" s="1346" t="s">
        <v>334</v>
      </c>
      <c r="F269" s="1347">
        <f>SUM(F270,F277)</f>
        <v>847000</v>
      </c>
      <c r="G269" s="1347">
        <f>SUM(G270,G277)</f>
        <v>84700</v>
      </c>
      <c r="H269" s="1347">
        <f>SUM(H270,H277)</f>
        <v>719950</v>
      </c>
      <c r="I269" s="1347">
        <f>SUM(I270,I277)</f>
        <v>42350</v>
      </c>
      <c r="J269" s="1348">
        <f>SUM(J270,J277)</f>
        <v>0</v>
      </c>
      <c r="K269" s="416"/>
    </row>
    <row r="270" spans="1:11" s="418" customFormat="1" ht="24.95" customHeight="1">
      <c r="A270" s="1809"/>
      <c r="B270" s="1827"/>
      <c r="C270" s="1815"/>
      <c r="D270" s="1818"/>
      <c r="E270" s="1349" t="s">
        <v>335</v>
      </c>
      <c r="F270" s="1350">
        <f>SUM(F271:F276)</f>
        <v>69300</v>
      </c>
      <c r="G270" s="1350">
        <f>SUM(G271:G276)</f>
        <v>6930</v>
      </c>
      <c r="H270" s="1350">
        <f>SUM(H271:H276)</f>
        <v>58905</v>
      </c>
      <c r="I270" s="1350">
        <f>SUM(I271:I276)</f>
        <v>3465</v>
      </c>
      <c r="J270" s="1351">
        <f>SUM(J271:J276)</f>
        <v>0</v>
      </c>
      <c r="K270" s="416"/>
    </row>
    <row r="271" spans="1:11" s="418" customFormat="1" ht="15" customHeight="1">
      <c r="A271" s="1809"/>
      <c r="B271" s="1827"/>
      <c r="C271" s="1815"/>
      <c r="D271" s="1818"/>
      <c r="E271" s="1352" t="s">
        <v>391</v>
      </c>
      <c r="F271" s="1353">
        <f>SUM(G271:J271)</f>
        <v>49157</v>
      </c>
      <c r="G271" s="1353"/>
      <c r="H271" s="1353">
        <v>49157</v>
      </c>
      <c r="I271" s="1353"/>
      <c r="J271" s="1354"/>
      <c r="K271" s="417"/>
    </row>
    <row r="272" spans="1:11" s="418" customFormat="1" ht="15" customHeight="1">
      <c r="A272" s="1809"/>
      <c r="B272" s="1827"/>
      <c r="C272" s="1815"/>
      <c r="D272" s="1818"/>
      <c r="E272" s="1352" t="s">
        <v>363</v>
      </c>
      <c r="F272" s="1353">
        <f t="shared" ref="F272:F274" si="24">SUM(G272:J272)</f>
        <v>8675</v>
      </c>
      <c r="G272" s="1353">
        <v>5783</v>
      </c>
      <c r="H272" s="1353"/>
      <c r="I272" s="1353">
        <v>2892</v>
      </c>
      <c r="J272" s="1354"/>
      <c r="K272" s="417"/>
    </row>
    <row r="273" spans="1:226" s="418" customFormat="1" ht="15" customHeight="1">
      <c r="A273" s="1809"/>
      <c r="B273" s="1827"/>
      <c r="C273" s="1815"/>
      <c r="D273" s="1818"/>
      <c r="E273" s="1352" t="s">
        <v>392</v>
      </c>
      <c r="F273" s="1353">
        <f t="shared" si="24"/>
        <v>8543</v>
      </c>
      <c r="G273" s="1353"/>
      <c r="H273" s="1353">
        <v>8543</v>
      </c>
      <c r="I273" s="1353"/>
      <c r="J273" s="1354"/>
      <c r="K273" s="417"/>
    </row>
    <row r="274" spans="1:226" s="418" customFormat="1" ht="15" customHeight="1">
      <c r="A274" s="1809"/>
      <c r="B274" s="1827"/>
      <c r="C274" s="1815"/>
      <c r="D274" s="1818"/>
      <c r="E274" s="1352" t="s">
        <v>337</v>
      </c>
      <c r="F274" s="1353">
        <f t="shared" si="24"/>
        <v>1508</v>
      </c>
      <c r="G274" s="1353">
        <v>1005</v>
      </c>
      <c r="H274" s="1353"/>
      <c r="I274" s="1353">
        <v>503</v>
      </c>
      <c r="J274" s="1354"/>
      <c r="K274" s="417"/>
    </row>
    <row r="275" spans="1:226" s="418" customFormat="1" ht="15" customHeight="1">
      <c r="A275" s="1809"/>
      <c r="B275" s="1827"/>
      <c r="C275" s="1815"/>
      <c r="D275" s="1818"/>
      <c r="E275" s="1352" t="s">
        <v>393</v>
      </c>
      <c r="F275" s="1353">
        <f>SUM(G275:J275)</f>
        <v>1205</v>
      </c>
      <c r="G275" s="1353"/>
      <c r="H275" s="1353">
        <v>1205</v>
      </c>
      <c r="I275" s="1353"/>
      <c r="J275" s="1354"/>
      <c r="K275" s="417"/>
    </row>
    <row r="276" spans="1:226" s="418" customFormat="1" ht="15" customHeight="1">
      <c r="A276" s="1809"/>
      <c r="B276" s="1827"/>
      <c r="C276" s="1815"/>
      <c r="D276" s="1818"/>
      <c r="E276" s="1352" t="s">
        <v>367</v>
      </c>
      <c r="F276" s="1353">
        <f>SUM(G276:J276)</f>
        <v>212</v>
      </c>
      <c r="G276" s="1353">
        <v>142</v>
      </c>
      <c r="H276" s="1353"/>
      <c r="I276" s="1353">
        <v>70</v>
      </c>
      <c r="J276" s="1354"/>
      <c r="K276" s="417"/>
    </row>
    <row r="277" spans="1:226" s="418" customFormat="1" ht="24.95" customHeight="1">
      <c r="A277" s="1809"/>
      <c r="B277" s="1827"/>
      <c r="C277" s="1815"/>
      <c r="D277" s="1818"/>
      <c r="E277" s="1349" t="s">
        <v>340</v>
      </c>
      <c r="F277" s="1350">
        <f>SUM(F278:F287)</f>
        <v>777700</v>
      </c>
      <c r="G277" s="1350">
        <f>SUM(G278:G287)</f>
        <v>77770</v>
      </c>
      <c r="H277" s="1350">
        <f>SUM(H278:H287)</f>
        <v>661045</v>
      </c>
      <c r="I277" s="1350">
        <f>SUM(I278:I287)</f>
        <v>38885</v>
      </c>
      <c r="J277" s="1351">
        <f>SUM(J278:J287)</f>
        <v>0</v>
      </c>
      <c r="K277" s="417"/>
      <c r="L277" s="416"/>
      <c r="M277" s="416"/>
      <c r="N277" s="416"/>
      <c r="O277" s="416"/>
      <c r="P277" s="416"/>
      <c r="Q277" s="416"/>
      <c r="R277" s="416"/>
      <c r="S277" s="416"/>
      <c r="T277" s="416"/>
      <c r="U277" s="416"/>
      <c r="V277" s="416"/>
      <c r="W277" s="416"/>
      <c r="X277" s="416"/>
      <c r="Y277" s="416"/>
      <c r="Z277" s="416"/>
      <c r="AA277" s="416"/>
      <c r="AB277" s="416"/>
      <c r="AC277" s="416"/>
      <c r="AD277" s="416"/>
      <c r="AE277" s="416"/>
      <c r="AF277" s="416"/>
      <c r="AG277" s="416"/>
      <c r="AH277" s="416"/>
      <c r="AI277" s="416"/>
      <c r="AJ277" s="416"/>
      <c r="AK277" s="416"/>
      <c r="AL277" s="416"/>
      <c r="AM277" s="416"/>
      <c r="AN277" s="416"/>
      <c r="AO277" s="416"/>
      <c r="AP277" s="416"/>
      <c r="AQ277" s="416"/>
      <c r="AR277" s="416"/>
      <c r="AS277" s="416"/>
      <c r="AT277" s="416"/>
      <c r="AU277" s="416"/>
      <c r="AV277" s="416"/>
      <c r="AW277" s="416"/>
      <c r="AX277" s="416"/>
      <c r="AY277" s="416"/>
      <c r="AZ277" s="416"/>
      <c r="BA277" s="416"/>
      <c r="BB277" s="416"/>
      <c r="BC277" s="416"/>
      <c r="BD277" s="416"/>
      <c r="BE277" s="416"/>
      <c r="BF277" s="416"/>
      <c r="BG277" s="416"/>
      <c r="BH277" s="416"/>
      <c r="BI277" s="416"/>
      <c r="BJ277" s="416"/>
      <c r="BK277" s="416"/>
      <c r="BL277" s="416"/>
      <c r="BM277" s="416"/>
      <c r="BN277" s="416"/>
      <c r="BO277" s="416"/>
      <c r="BP277" s="416"/>
      <c r="BQ277" s="416"/>
      <c r="BR277" s="416"/>
      <c r="BS277" s="416"/>
      <c r="BT277" s="416"/>
      <c r="BU277" s="416"/>
      <c r="BV277" s="416"/>
      <c r="BW277" s="416"/>
      <c r="BX277" s="416"/>
      <c r="BY277" s="416"/>
      <c r="BZ277" s="416"/>
      <c r="CA277" s="416"/>
      <c r="CB277" s="416"/>
      <c r="CC277" s="416"/>
      <c r="CD277" s="416"/>
      <c r="CE277" s="416"/>
      <c r="CF277" s="416"/>
      <c r="CG277" s="416"/>
      <c r="CH277" s="416"/>
      <c r="CI277" s="416"/>
      <c r="CJ277" s="416"/>
      <c r="CK277" s="416"/>
      <c r="CL277" s="416"/>
      <c r="CM277" s="416"/>
      <c r="CN277" s="416"/>
      <c r="CO277" s="416"/>
      <c r="CP277" s="416"/>
      <c r="CQ277" s="416"/>
      <c r="CR277" s="416"/>
      <c r="CS277" s="416"/>
      <c r="CT277" s="416"/>
      <c r="CU277" s="416"/>
      <c r="CV277" s="416"/>
      <c r="CW277" s="416"/>
      <c r="CX277" s="416"/>
      <c r="CY277" s="416"/>
      <c r="CZ277" s="416"/>
      <c r="DA277" s="416"/>
      <c r="DB277" s="416"/>
      <c r="DC277" s="416"/>
      <c r="DD277" s="416"/>
      <c r="DE277" s="416"/>
      <c r="DF277" s="416"/>
      <c r="DG277" s="416"/>
      <c r="DH277" s="416"/>
      <c r="DI277" s="416"/>
      <c r="DJ277" s="416"/>
      <c r="DK277" s="416"/>
      <c r="DL277" s="416"/>
      <c r="DM277" s="416"/>
      <c r="DN277" s="416"/>
      <c r="DO277" s="416"/>
      <c r="DP277" s="416"/>
      <c r="DQ277" s="416"/>
      <c r="DR277" s="416"/>
      <c r="DS277" s="416"/>
      <c r="DT277" s="416"/>
      <c r="DU277" s="416"/>
      <c r="DV277" s="416"/>
      <c r="DW277" s="416"/>
      <c r="DX277" s="416"/>
      <c r="DY277" s="416"/>
      <c r="DZ277" s="416"/>
      <c r="EA277" s="416"/>
      <c r="EB277" s="416"/>
      <c r="EC277" s="416"/>
      <c r="ED277" s="416"/>
      <c r="EE277" s="416"/>
      <c r="EF277" s="416"/>
      <c r="EG277" s="416"/>
      <c r="EH277" s="416"/>
      <c r="EI277" s="416"/>
      <c r="EJ277" s="416"/>
      <c r="EK277" s="416"/>
      <c r="EL277" s="416"/>
      <c r="EM277" s="416"/>
      <c r="EN277" s="416"/>
      <c r="EO277" s="416"/>
      <c r="EP277" s="416"/>
      <c r="EQ277" s="416"/>
      <c r="ER277" s="416"/>
      <c r="ES277" s="416"/>
      <c r="ET277" s="416"/>
      <c r="EU277" s="416"/>
      <c r="EV277" s="416"/>
      <c r="EW277" s="416"/>
      <c r="EX277" s="416"/>
      <c r="EY277" s="416"/>
      <c r="EZ277" s="416"/>
      <c r="FA277" s="416"/>
      <c r="FB277" s="416"/>
      <c r="FC277" s="416"/>
      <c r="FD277" s="416"/>
      <c r="FE277" s="416"/>
      <c r="FF277" s="416"/>
      <c r="FG277" s="416"/>
      <c r="FH277" s="416"/>
      <c r="FI277" s="416"/>
      <c r="FJ277" s="416"/>
      <c r="FK277" s="416"/>
      <c r="FL277" s="416"/>
      <c r="FM277" s="416"/>
      <c r="FN277" s="416"/>
      <c r="FO277" s="416"/>
      <c r="FP277" s="416"/>
      <c r="FQ277" s="416"/>
      <c r="FR277" s="416"/>
      <c r="FS277" s="416"/>
      <c r="FT277" s="416"/>
      <c r="FU277" s="416"/>
      <c r="FV277" s="416"/>
      <c r="FW277" s="416"/>
      <c r="FX277" s="416"/>
      <c r="FY277" s="416"/>
      <c r="FZ277" s="416"/>
      <c r="GA277" s="416"/>
      <c r="GB277" s="416"/>
      <c r="GC277" s="416"/>
      <c r="GD277" s="416"/>
      <c r="GE277" s="416"/>
      <c r="GF277" s="416"/>
      <c r="GG277" s="416"/>
      <c r="GH277" s="416"/>
      <c r="GI277" s="416"/>
      <c r="GJ277" s="416"/>
      <c r="GK277" s="416"/>
      <c r="GL277" s="416"/>
      <c r="GM277" s="416"/>
      <c r="GN277" s="416"/>
      <c r="GO277" s="416"/>
      <c r="GP277" s="416"/>
      <c r="GQ277" s="416"/>
      <c r="GR277" s="416"/>
      <c r="GS277" s="416"/>
      <c r="GT277" s="416"/>
      <c r="GU277" s="416"/>
      <c r="GV277" s="416"/>
      <c r="GW277" s="416"/>
      <c r="GX277" s="416"/>
      <c r="GY277" s="416"/>
      <c r="GZ277" s="416"/>
      <c r="HA277" s="416"/>
      <c r="HB277" s="416"/>
      <c r="HC277" s="416"/>
      <c r="HD277" s="416"/>
      <c r="HE277" s="416"/>
      <c r="HF277" s="416"/>
      <c r="HG277" s="416"/>
      <c r="HH277" s="416"/>
      <c r="HI277" s="416"/>
      <c r="HJ277" s="416"/>
      <c r="HK277" s="416"/>
      <c r="HL277" s="416"/>
      <c r="HM277" s="416"/>
      <c r="HN277" s="416"/>
      <c r="HO277" s="416"/>
      <c r="HP277" s="416"/>
      <c r="HQ277" s="416"/>
      <c r="HR277" s="416"/>
    </row>
    <row r="278" spans="1:226" s="418" customFormat="1" ht="15" customHeight="1">
      <c r="A278" s="1809"/>
      <c r="B278" s="1827"/>
      <c r="C278" s="1815"/>
      <c r="D278" s="1818"/>
      <c r="E278" s="1352" t="s">
        <v>422</v>
      </c>
      <c r="F278" s="1353">
        <f>SUM(G278:J278)</f>
        <v>654500</v>
      </c>
      <c r="G278" s="1353"/>
      <c r="H278" s="1353">
        <v>654500</v>
      </c>
      <c r="I278" s="1353"/>
      <c r="J278" s="1354"/>
      <c r="K278" s="417"/>
    </row>
    <row r="279" spans="1:226" s="418" customFormat="1" ht="15" customHeight="1">
      <c r="A279" s="1809"/>
      <c r="B279" s="1827"/>
      <c r="C279" s="1815"/>
      <c r="D279" s="1818"/>
      <c r="E279" s="1352" t="s">
        <v>423</v>
      </c>
      <c r="F279" s="1353">
        <f t="shared" ref="F279:F286" si="25">SUM(G279:J279)</f>
        <v>115500</v>
      </c>
      <c r="G279" s="1353">
        <v>77000</v>
      </c>
      <c r="H279" s="1353"/>
      <c r="I279" s="1353">
        <v>38500</v>
      </c>
      <c r="J279" s="1354"/>
      <c r="K279" s="417"/>
    </row>
    <row r="280" spans="1:226" s="418" customFormat="1" ht="15" customHeight="1">
      <c r="A280" s="1809"/>
      <c r="B280" s="1827"/>
      <c r="C280" s="1815"/>
      <c r="D280" s="1818"/>
      <c r="E280" s="1352" t="s">
        <v>411</v>
      </c>
      <c r="F280" s="1353">
        <f t="shared" si="25"/>
        <v>3927</v>
      </c>
      <c r="G280" s="1353"/>
      <c r="H280" s="1353">
        <v>3927</v>
      </c>
      <c r="I280" s="1353"/>
      <c r="J280" s="1354"/>
      <c r="K280" s="417"/>
    </row>
    <row r="281" spans="1:226" s="418" customFormat="1" ht="15" customHeight="1">
      <c r="A281" s="1809"/>
      <c r="B281" s="1827"/>
      <c r="C281" s="1815"/>
      <c r="D281" s="1818"/>
      <c r="E281" s="1352" t="s">
        <v>342</v>
      </c>
      <c r="F281" s="1353">
        <f t="shared" si="25"/>
        <v>693</v>
      </c>
      <c r="G281" s="1353">
        <v>462</v>
      </c>
      <c r="H281" s="1353"/>
      <c r="I281" s="1353">
        <v>231</v>
      </c>
      <c r="J281" s="1354"/>
      <c r="K281" s="417"/>
    </row>
    <row r="282" spans="1:226" s="418" customFormat="1" ht="15" customHeight="1">
      <c r="A282" s="1809"/>
      <c r="B282" s="1827"/>
      <c r="C282" s="1815"/>
      <c r="D282" s="1818"/>
      <c r="E282" s="1352" t="s">
        <v>424</v>
      </c>
      <c r="F282" s="1353">
        <f t="shared" si="25"/>
        <v>1309</v>
      </c>
      <c r="G282" s="1353"/>
      <c r="H282" s="1353">
        <v>1309</v>
      </c>
      <c r="I282" s="1353"/>
      <c r="J282" s="1354"/>
      <c r="K282" s="417"/>
    </row>
    <row r="283" spans="1:226" s="418" customFormat="1" ht="15" customHeight="1">
      <c r="A283" s="1809"/>
      <c r="B283" s="1827"/>
      <c r="C283" s="1815"/>
      <c r="D283" s="1818"/>
      <c r="E283" s="1352" t="s">
        <v>373</v>
      </c>
      <c r="F283" s="1353">
        <f t="shared" si="25"/>
        <v>231</v>
      </c>
      <c r="G283" s="1353">
        <v>154</v>
      </c>
      <c r="H283" s="1353"/>
      <c r="I283" s="1353">
        <v>77</v>
      </c>
      <c r="J283" s="1354"/>
      <c r="K283" s="417"/>
    </row>
    <row r="284" spans="1:226" s="418" customFormat="1" ht="15" customHeight="1">
      <c r="A284" s="1809"/>
      <c r="B284" s="1827"/>
      <c r="C284" s="1815"/>
      <c r="D284" s="1818"/>
      <c r="E284" s="1352" t="s">
        <v>394</v>
      </c>
      <c r="F284" s="1353">
        <f t="shared" si="25"/>
        <v>655</v>
      </c>
      <c r="G284" s="1353"/>
      <c r="H284" s="1353">
        <v>655</v>
      </c>
      <c r="I284" s="1353"/>
      <c r="J284" s="1354"/>
      <c r="K284" s="417"/>
    </row>
    <row r="285" spans="1:226" s="418" customFormat="1" ht="15" customHeight="1">
      <c r="A285" s="1809"/>
      <c r="B285" s="1827"/>
      <c r="C285" s="1815"/>
      <c r="D285" s="1818"/>
      <c r="E285" s="1352" t="s">
        <v>344</v>
      </c>
      <c r="F285" s="1353">
        <f t="shared" si="25"/>
        <v>115</v>
      </c>
      <c r="G285" s="1353">
        <v>77</v>
      </c>
      <c r="H285" s="1353"/>
      <c r="I285" s="1353">
        <v>38</v>
      </c>
      <c r="J285" s="1354"/>
      <c r="K285" s="417"/>
    </row>
    <row r="286" spans="1:226" s="418" customFormat="1" ht="15" customHeight="1">
      <c r="A286" s="1809"/>
      <c r="B286" s="1827"/>
      <c r="C286" s="1815"/>
      <c r="D286" s="1818"/>
      <c r="E286" s="1352" t="s">
        <v>425</v>
      </c>
      <c r="F286" s="1353">
        <f t="shared" si="25"/>
        <v>654</v>
      </c>
      <c r="G286" s="1353"/>
      <c r="H286" s="1353">
        <v>654</v>
      </c>
      <c r="I286" s="1353"/>
      <c r="J286" s="1354"/>
      <c r="K286" s="417"/>
    </row>
    <row r="287" spans="1:226" s="418" customFormat="1" ht="15" customHeight="1">
      <c r="A287" s="1809"/>
      <c r="B287" s="1827"/>
      <c r="C287" s="1815"/>
      <c r="D287" s="1818"/>
      <c r="E287" s="1352" t="s">
        <v>426</v>
      </c>
      <c r="F287" s="1353">
        <f>SUM(G287:J287)</f>
        <v>116</v>
      </c>
      <c r="G287" s="1353">
        <v>77</v>
      </c>
      <c r="H287" s="1353"/>
      <c r="I287" s="1353">
        <v>39</v>
      </c>
      <c r="J287" s="1354"/>
      <c r="K287" s="417"/>
    </row>
    <row r="288" spans="1:226" s="418" customFormat="1" ht="20.25" customHeight="1" thickBot="1">
      <c r="A288" s="1829"/>
      <c r="B288" s="1830"/>
      <c r="C288" s="1831"/>
      <c r="D288" s="1832"/>
      <c r="E288" s="1355" t="s">
        <v>324</v>
      </c>
      <c r="F288" s="1347">
        <f>SUM(F289:F290)</f>
        <v>0</v>
      </c>
      <c r="G288" s="1347">
        <f>SUM(G289:G290)</f>
        <v>0</v>
      </c>
      <c r="H288" s="1347">
        <f>SUM(H289:H290)</f>
        <v>0</v>
      </c>
      <c r="I288" s="1347">
        <f>SUM(I289:I290)</f>
        <v>0</v>
      </c>
      <c r="J288" s="1348">
        <f>SUM(J289:J290)</f>
        <v>0</v>
      </c>
      <c r="K288" s="416"/>
    </row>
    <row r="289" spans="1:226" s="418" customFormat="1" ht="15" hidden="1" customHeight="1">
      <c r="A289" s="426"/>
      <c r="B289" s="1378"/>
      <c r="C289" s="1368"/>
      <c r="D289" s="1369"/>
      <c r="E289" s="424"/>
      <c r="F289" s="425">
        <f>SUM(G289:J289)</f>
        <v>0</v>
      </c>
      <c r="G289" s="425"/>
      <c r="H289" s="425"/>
      <c r="I289" s="425"/>
      <c r="J289" s="1403"/>
      <c r="K289" s="416"/>
    </row>
    <row r="290" spans="1:226" s="418" customFormat="1" ht="15" hidden="1" customHeight="1">
      <c r="A290" s="426"/>
      <c r="B290" s="1378"/>
      <c r="C290" s="1368"/>
      <c r="D290" s="1369"/>
      <c r="E290" s="1379"/>
      <c r="F290" s="1380">
        <f t="shared" ref="F290" si="26">SUM(G290:J290)</f>
        <v>0</v>
      </c>
      <c r="G290" s="1380"/>
      <c r="H290" s="1380"/>
      <c r="I290" s="1380"/>
      <c r="J290" s="1381"/>
      <c r="K290" s="416"/>
    </row>
    <row r="291" spans="1:226" s="418" customFormat="1" ht="22.5" customHeight="1">
      <c r="A291" s="1808" t="s">
        <v>429</v>
      </c>
      <c r="B291" s="1826" t="s">
        <v>430</v>
      </c>
      <c r="C291" s="1814">
        <v>921</v>
      </c>
      <c r="D291" s="1817" t="s">
        <v>212</v>
      </c>
      <c r="E291" s="1361" t="s">
        <v>322</v>
      </c>
      <c r="F291" s="1362">
        <f>SUM(F292,F299)</f>
        <v>5569500</v>
      </c>
      <c r="G291" s="1362">
        <f>SUM(G292,G299)</f>
        <v>835425</v>
      </c>
      <c r="H291" s="1362">
        <f>SUM(H292,H299)</f>
        <v>4734075</v>
      </c>
      <c r="I291" s="1362">
        <f>SUM(I292,I299)</f>
        <v>0</v>
      </c>
      <c r="J291" s="1363">
        <f>SUM(J292,J299)</f>
        <v>0</v>
      </c>
      <c r="K291" s="416"/>
    </row>
    <row r="292" spans="1:226" s="418" customFormat="1" ht="21">
      <c r="A292" s="1809"/>
      <c r="B292" s="1827"/>
      <c r="C292" s="1815"/>
      <c r="D292" s="1818"/>
      <c r="E292" s="1346" t="s">
        <v>334</v>
      </c>
      <c r="F292" s="1347">
        <f>SUM(F293,F296)</f>
        <v>0</v>
      </c>
      <c r="G292" s="1347">
        <f>SUM(G293,G296)</f>
        <v>0</v>
      </c>
      <c r="H292" s="1347">
        <f>SUM(H293,H296)</f>
        <v>0</v>
      </c>
      <c r="I292" s="1347">
        <f>SUM(I293,I296)</f>
        <v>0</v>
      </c>
      <c r="J292" s="1348">
        <f>SUM(J293,J296)</f>
        <v>0</v>
      </c>
      <c r="K292" s="416"/>
    </row>
    <row r="293" spans="1:226" s="418" customFormat="1" ht="24.95" hidden="1" customHeight="1">
      <c r="A293" s="1809"/>
      <c r="B293" s="1827"/>
      <c r="C293" s="1815"/>
      <c r="D293" s="1818"/>
      <c r="E293" s="1349" t="s">
        <v>335</v>
      </c>
      <c r="F293" s="1350">
        <f>SUM(F294:F295)</f>
        <v>0</v>
      </c>
      <c r="G293" s="1350">
        <f>SUM(G294:G295)</f>
        <v>0</v>
      </c>
      <c r="H293" s="1350">
        <f>SUM(H294:H295)</f>
        <v>0</v>
      </c>
      <c r="I293" s="1350">
        <f>SUM(I294:I295)</f>
        <v>0</v>
      </c>
      <c r="J293" s="1351">
        <f>SUM(J294:J295)</f>
        <v>0</v>
      </c>
      <c r="K293" s="416"/>
    </row>
    <row r="294" spans="1:226" s="418" customFormat="1" ht="15" hidden="1" customHeight="1">
      <c r="A294" s="1809"/>
      <c r="B294" s="1827"/>
      <c r="C294" s="1815"/>
      <c r="D294" s="1818"/>
      <c r="E294" s="1352"/>
      <c r="F294" s="1353">
        <f>SUM(G294:J294)</f>
        <v>0</v>
      </c>
      <c r="G294" s="1353"/>
      <c r="H294" s="1353"/>
      <c r="I294" s="1353"/>
      <c r="J294" s="1354"/>
      <c r="K294" s="416"/>
    </row>
    <row r="295" spans="1:226" s="418" customFormat="1" ht="15" hidden="1" customHeight="1">
      <c r="A295" s="1809"/>
      <c r="B295" s="1827"/>
      <c r="C295" s="1815"/>
      <c r="D295" s="1818"/>
      <c r="E295" s="1352"/>
      <c r="F295" s="1353">
        <f t="shared" ref="F295" si="27">SUM(G295:J295)</f>
        <v>0</v>
      </c>
      <c r="G295" s="1353"/>
      <c r="H295" s="1353"/>
      <c r="I295" s="1353"/>
      <c r="J295" s="1354"/>
      <c r="K295" s="416"/>
    </row>
    <row r="296" spans="1:226" s="418" customFormat="1" ht="24.95" hidden="1" customHeight="1">
      <c r="A296" s="1809"/>
      <c r="B296" s="1827"/>
      <c r="C296" s="1815"/>
      <c r="D296" s="1818"/>
      <c r="E296" s="1349" t="s">
        <v>340</v>
      </c>
      <c r="F296" s="1350">
        <f>SUM(F297:F298)</f>
        <v>0</v>
      </c>
      <c r="G296" s="1350">
        <f>SUM(G297:G298)</f>
        <v>0</v>
      </c>
      <c r="H296" s="1350">
        <f>SUM(H297:H298)</f>
        <v>0</v>
      </c>
      <c r="I296" s="1350">
        <f>SUM(I297:I298)</f>
        <v>0</v>
      </c>
      <c r="J296" s="1351">
        <f>SUM(J297:J298)</f>
        <v>0</v>
      </c>
      <c r="K296" s="416"/>
      <c r="L296" s="416"/>
      <c r="M296" s="416"/>
      <c r="N296" s="416"/>
      <c r="O296" s="416"/>
      <c r="P296" s="416"/>
      <c r="Q296" s="416"/>
      <c r="R296" s="416"/>
      <c r="S296" s="416"/>
      <c r="T296" s="416"/>
      <c r="U296" s="416"/>
      <c r="V296" s="416"/>
      <c r="W296" s="416"/>
      <c r="X296" s="416"/>
      <c r="Y296" s="416"/>
      <c r="Z296" s="416"/>
      <c r="AA296" s="416"/>
      <c r="AB296" s="416"/>
      <c r="AC296" s="416"/>
      <c r="AD296" s="416"/>
      <c r="AE296" s="416"/>
      <c r="AF296" s="416"/>
      <c r="AG296" s="416"/>
      <c r="AH296" s="416"/>
      <c r="AI296" s="416"/>
      <c r="AJ296" s="416"/>
      <c r="AK296" s="416"/>
      <c r="AL296" s="416"/>
      <c r="AM296" s="416"/>
      <c r="AN296" s="416"/>
      <c r="AO296" s="416"/>
      <c r="AP296" s="416"/>
      <c r="AQ296" s="416"/>
      <c r="AR296" s="416"/>
      <c r="AS296" s="416"/>
      <c r="AT296" s="416"/>
      <c r="AU296" s="416"/>
      <c r="AV296" s="416"/>
      <c r="AW296" s="416"/>
      <c r="AX296" s="416"/>
      <c r="AY296" s="416"/>
      <c r="AZ296" s="416"/>
      <c r="BA296" s="416"/>
      <c r="BB296" s="416"/>
      <c r="BC296" s="416"/>
      <c r="BD296" s="416"/>
      <c r="BE296" s="416"/>
      <c r="BF296" s="416"/>
      <c r="BG296" s="416"/>
      <c r="BH296" s="416"/>
      <c r="BI296" s="416"/>
      <c r="BJ296" s="416"/>
      <c r="BK296" s="416"/>
      <c r="BL296" s="416"/>
      <c r="BM296" s="416"/>
      <c r="BN296" s="416"/>
      <c r="BO296" s="416"/>
      <c r="BP296" s="416"/>
      <c r="BQ296" s="416"/>
      <c r="BR296" s="416"/>
      <c r="BS296" s="416"/>
      <c r="BT296" s="416"/>
      <c r="BU296" s="416"/>
      <c r="BV296" s="416"/>
      <c r="BW296" s="416"/>
      <c r="BX296" s="416"/>
      <c r="BY296" s="416"/>
      <c r="BZ296" s="416"/>
      <c r="CA296" s="416"/>
      <c r="CB296" s="416"/>
      <c r="CC296" s="416"/>
      <c r="CD296" s="416"/>
      <c r="CE296" s="416"/>
      <c r="CF296" s="416"/>
      <c r="CG296" s="416"/>
      <c r="CH296" s="416"/>
      <c r="CI296" s="416"/>
      <c r="CJ296" s="416"/>
      <c r="CK296" s="416"/>
      <c r="CL296" s="416"/>
      <c r="CM296" s="416"/>
      <c r="CN296" s="416"/>
      <c r="CO296" s="416"/>
      <c r="CP296" s="416"/>
      <c r="CQ296" s="416"/>
      <c r="CR296" s="416"/>
      <c r="CS296" s="416"/>
      <c r="CT296" s="416"/>
      <c r="CU296" s="416"/>
      <c r="CV296" s="416"/>
      <c r="CW296" s="416"/>
      <c r="CX296" s="416"/>
      <c r="CY296" s="416"/>
      <c r="CZ296" s="416"/>
      <c r="DA296" s="416"/>
      <c r="DB296" s="416"/>
      <c r="DC296" s="416"/>
      <c r="DD296" s="416"/>
      <c r="DE296" s="416"/>
      <c r="DF296" s="416"/>
      <c r="DG296" s="416"/>
      <c r="DH296" s="416"/>
      <c r="DI296" s="416"/>
      <c r="DJ296" s="416"/>
      <c r="DK296" s="416"/>
      <c r="DL296" s="416"/>
      <c r="DM296" s="416"/>
      <c r="DN296" s="416"/>
      <c r="DO296" s="416"/>
      <c r="DP296" s="416"/>
      <c r="DQ296" s="416"/>
      <c r="DR296" s="416"/>
      <c r="DS296" s="416"/>
      <c r="DT296" s="416"/>
      <c r="DU296" s="416"/>
      <c r="DV296" s="416"/>
      <c r="DW296" s="416"/>
      <c r="DX296" s="416"/>
      <c r="DY296" s="416"/>
      <c r="DZ296" s="416"/>
      <c r="EA296" s="416"/>
      <c r="EB296" s="416"/>
      <c r="EC296" s="416"/>
      <c r="ED296" s="416"/>
      <c r="EE296" s="416"/>
      <c r="EF296" s="416"/>
      <c r="EG296" s="416"/>
      <c r="EH296" s="416"/>
      <c r="EI296" s="416"/>
      <c r="EJ296" s="416"/>
      <c r="EK296" s="416"/>
      <c r="EL296" s="416"/>
      <c r="EM296" s="416"/>
      <c r="EN296" s="416"/>
      <c r="EO296" s="416"/>
      <c r="EP296" s="416"/>
      <c r="EQ296" s="416"/>
      <c r="ER296" s="416"/>
      <c r="ES296" s="416"/>
      <c r="ET296" s="416"/>
      <c r="EU296" s="416"/>
      <c r="EV296" s="416"/>
      <c r="EW296" s="416"/>
      <c r="EX296" s="416"/>
      <c r="EY296" s="416"/>
      <c r="EZ296" s="416"/>
      <c r="FA296" s="416"/>
      <c r="FB296" s="416"/>
      <c r="FC296" s="416"/>
      <c r="FD296" s="416"/>
      <c r="FE296" s="416"/>
      <c r="FF296" s="416"/>
      <c r="FG296" s="416"/>
      <c r="FH296" s="416"/>
      <c r="FI296" s="416"/>
      <c r="FJ296" s="416"/>
      <c r="FK296" s="416"/>
      <c r="FL296" s="416"/>
      <c r="FM296" s="416"/>
      <c r="FN296" s="416"/>
      <c r="FO296" s="416"/>
      <c r="FP296" s="416"/>
      <c r="FQ296" s="416"/>
      <c r="FR296" s="416"/>
      <c r="FS296" s="416"/>
      <c r="FT296" s="416"/>
      <c r="FU296" s="416"/>
      <c r="FV296" s="416"/>
      <c r="FW296" s="416"/>
      <c r="FX296" s="416"/>
      <c r="FY296" s="416"/>
      <c r="FZ296" s="416"/>
      <c r="GA296" s="416"/>
      <c r="GB296" s="416"/>
      <c r="GC296" s="416"/>
      <c r="GD296" s="416"/>
      <c r="GE296" s="416"/>
      <c r="GF296" s="416"/>
      <c r="GG296" s="416"/>
      <c r="GH296" s="416"/>
      <c r="GI296" s="416"/>
      <c r="GJ296" s="416"/>
      <c r="GK296" s="416"/>
      <c r="GL296" s="416"/>
      <c r="GM296" s="416"/>
      <c r="GN296" s="416"/>
      <c r="GO296" s="416"/>
      <c r="GP296" s="416"/>
      <c r="GQ296" s="416"/>
      <c r="GR296" s="416"/>
      <c r="GS296" s="416"/>
      <c r="GT296" s="416"/>
      <c r="GU296" s="416"/>
      <c r="GV296" s="416"/>
      <c r="GW296" s="416"/>
      <c r="GX296" s="416"/>
      <c r="GY296" s="416"/>
      <c r="GZ296" s="416"/>
      <c r="HA296" s="416"/>
      <c r="HB296" s="416"/>
      <c r="HC296" s="416"/>
      <c r="HD296" s="416"/>
      <c r="HE296" s="416"/>
      <c r="HF296" s="416"/>
      <c r="HG296" s="416"/>
      <c r="HH296" s="416"/>
      <c r="HI296" s="416"/>
      <c r="HJ296" s="416"/>
      <c r="HK296" s="416"/>
      <c r="HL296" s="416"/>
      <c r="HM296" s="416"/>
      <c r="HN296" s="416"/>
      <c r="HO296" s="416"/>
      <c r="HP296" s="416"/>
      <c r="HQ296" s="416"/>
      <c r="HR296" s="416"/>
    </row>
    <row r="297" spans="1:226" s="418" customFormat="1" ht="15" hidden="1" customHeight="1">
      <c r="A297" s="1809"/>
      <c r="B297" s="1827"/>
      <c r="C297" s="1815"/>
      <c r="D297" s="1818"/>
      <c r="E297" s="1352"/>
      <c r="F297" s="1353">
        <f>SUM(G297:J297)</f>
        <v>0</v>
      </c>
      <c r="G297" s="1353"/>
      <c r="H297" s="1353"/>
      <c r="I297" s="1353"/>
      <c r="J297" s="1354"/>
      <c r="K297" s="416"/>
    </row>
    <row r="298" spans="1:226" s="418" customFormat="1" ht="15" hidden="1" customHeight="1">
      <c r="A298" s="1809"/>
      <c r="B298" s="1827"/>
      <c r="C298" s="1815"/>
      <c r="D298" s="1818"/>
      <c r="E298" s="1352"/>
      <c r="F298" s="1353">
        <f t="shared" ref="F298" si="28">SUM(G298:J298)</f>
        <v>0</v>
      </c>
      <c r="G298" s="1353">
        <f>140000-140000</f>
        <v>0</v>
      </c>
      <c r="H298" s="1353"/>
      <c r="I298" s="1353"/>
      <c r="J298" s="1354"/>
      <c r="K298" s="416"/>
    </row>
    <row r="299" spans="1:226" s="418" customFormat="1" ht="20.25" customHeight="1">
      <c r="A299" s="1809"/>
      <c r="B299" s="1827"/>
      <c r="C299" s="1815"/>
      <c r="D299" s="1818"/>
      <c r="E299" s="1355" t="s">
        <v>324</v>
      </c>
      <c r="F299" s="1347">
        <f>SUM(F300:F301)</f>
        <v>5569500</v>
      </c>
      <c r="G299" s="1347">
        <f>SUM(G300:G301)</f>
        <v>835425</v>
      </c>
      <c r="H299" s="1347">
        <f>SUM(H300:H301)</f>
        <v>4734075</v>
      </c>
      <c r="I299" s="1347">
        <f>SUM(I300:I301)</f>
        <v>0</v>
      </c>
      <c r="J299" s="1348">
        <f>SUM(J300:J301)</f>
        <v>0</v>
      </c>
      <c r="K299" s="416"/>
    </row>
    <row r="300" spans="1:226" s="418" customFormat="1" ht="15" customHeight="1">
      <c r="A300" s="1809"/>
      <c r="B300" s="1827"/>
      <c r="C300" s="1815"/>
      <c r="D300" s="1818"/>
      <c r="E300" s="1212" t="s">
        <v>406</v>
      </c>
      <c r="F300" s="427">
        <f>SUM(G300:J300)</f>
        <v>4734075</v>
      </c>
      <c r="G300" s="427"/>
      <c r="H300" s="427">
        <v>4734075</v>
      </c>
      <c r="I300" s="427"/>
      <c r="J300" s="1382"/>
      <c r="K300" s="416"/>
    </row>
    <row r="301" spans="1:226" s="418" customFormat="1" ht="15" customHeight="1" thickBot="1">
      <c r="A301" s="1810"/>
      <c r="B301" s="1828"/>
      <c r="C301" s="1816"/>
      <c r="D301" s="1819"/>
      <c r="E301" s="1356">
        <v>6059</v>
      </c>
      <c r="F301" s="1357">
        <f t="shared" ref="F301" si="29">SUM(G301:J301)</f>
        <v>835425</v>
      </c>
      <c r="G301" s="1357">
        <v>835425</v>
      </c>
      <c r="H301" s="1357"/>
      <c r="I301" s="1357"/>
      <c r="J301" s="1373"/>
      <c r="K301" s="416"/>
    </row>
    <row r="302" spans="1:226" s="418" customFormat="1" ht="22.5">
      <c r="A302" s="1808" t="s">
        <v>431</v>
      </c>
      <c r="B302" s="1826" t="s">
        <v>432</v>
      </c>
      <c r="C302" s="1817" t="s">
        <v>116</v>
      </c>
      <c r="D302" s="1817" t="s">
        <v>433</v>
      </c>
      <c r="E302" s="1361" t="s">
        <v>322</v>
      </c>
      <c r="F302" s="1362">
        <f>SUM(F303,F337)</f>
        <v>4915000</v>
      </c>
      <c r="G302" s="1362">
        <f>SUM(G303,G337)</f>
        <v>0</v>
      </c>
      <c r="H302" s="1362">
        <f>SUM(H303,H337)</f>
        <v>0</v>
      </c>
      <c r="I302" s="1362">
        <f>SUM(I303,I337)</f>
        <v>4915000</v>
      </c>
      <c r="J302" s="1363">
        <f>SUM(J303,J337)</f>
        <v>0</v>
      </c>
      <c r="K302" s="416"/>
      <c r="L302" s="416"/>
      <c r="M302" s="416"/>
      <c r="N302" s="416"/>
      <c r="O302" s="416"/>
      <c r="P302" s="416"/>
      <c r="Q302" s="416"/>
      <c r="R302" s="416"/>
      <c r="S302" s="416"/>
      <c r="T302" s="416"/>
      <c r="U302" s="416"/>
      <c r="V302" s="416"/>
      <c r="W302" s="416"/>
      <c r="X302" s="416"/>
      <c r="Y302" s="416"/>
      <c r="Z302" s="416"/>
      <c r="AA302" s="416"/>
      <c r="AB302" s="416"/>
      <c r="AC302" s="416"/>
      <c r="AD302" s="416"/>
      <c r="AE302" s="416"/>
      <c r="AF302" s="416"/>
      <c r="AG302" s="416"/>
      <c r="AH302" s="416"/>
      <c r="AI302" s="416"/>
      <c r="AJ302" s="416"/>
      <c r="AK302" s="416"/>
      <c r="AL302" s="416"/>
      <c r="AM302" s="416"/>
      <c r="AN302" s="416"/>
      <c r="AO302" s="416"/>
      <c r="AP302" s="416"/>
      <c r="AQ302" s="416"/>
      <c r="AR302" s="416"/>
      <c r="AS302" s="416"/>
      <c r="AT302" s="416"/>
      <c r="AU302" s="416"/>
      <c r="AV302" s="416"/>
      <c r="AW302" s="416"/>
      <c r="AX302" s="416"/>
      <c r="AY302" s="416"/>
      <c r="AZ302" s="416"/>
      <c r="BA302" s="416"/>
      <c r="BB302" s="416"/>
      <c r="BC302" s="416"/>
      <c r="BD302" s="416"/>
      <c r="BE302" s="416"/>
      <c r="BF302" s="416"/>
      <c r="BG302" s="416"/>
      <c r="BH302" s="416"/>
      <c r="BI302" s="416"/>
      <c r="BJ302" s="416"/>
      <c r="BK302" s="416"/>
      <c r="BL302" s="416"/>
      <c r="BM302" s="416"/>
      <c r="BN302" s="416"/>
      <c r="BO302" s="416"/>
      <c r="BP302" s="416"/>
      <c r="BQ302" s="416"/>
      <c r="BR302" s="416"/>
      <c r="BS302" s="416"/>
      <c r="BT302" s="416"/>
      <c r="BU302" s="416"/>
      <c r="BV302" s="416"/>
      <c r="BW302" s="416"/>
      <c r="BX302" s="416"/>
      <c r="BY302" s="416"/>
      <c r="BZ302" s="416"/>
      <c r="CA302" s="416"/>
      <c r="CB302" s="416"/>
      <c r="CC302" s="416"/>
      <c r="CD302" s="416"/>
      <c r="CE302" s="416"/>
      <c r="CF302" s="416"/>
      <c r="CG302" s="416"/>
      <c r="CH302" s="416"/>
      <c r="CI302" s="416"/>
      <c r="CJ302" s="416"/>
      <c r="CK302" s="416"/>
      <c r="CL302" s="416"/>
      <c r="CM302" s="416"/>
      <c r="CN302" s="416"/>
      <c r="CO302" s="416"/>
      <c r="CP302" s="416"/>
      <c r="CQ302" s="416"/>
      <c r="CR302" s="416"/>
      <c r="CS302" s="416"/>
      <c r="CT302" s="416"/>
      <c r="CU302" s="416"/>
      <c r="CV302" s="416"/>
      <c r="CW302" s="416"/>
      <c r="CX302" s="416"/>
      <c r="CY302" s="416"/>
      <c r="CZ302" s="416"/>
      <c r="DA302" s="416"/>
      <c r="DB302" s="416"/>
      <c r="DC302" s="416"/>
      <c r="DD302" s="416"/>
      <c r="DE302" s="416"/>
      <c r="DF302" s="416"/>
      <c r="DG302" s="416"/>
      <c r="DH302" s="416"/>
      <c r="DI302" s="416"/>
      <c r="DJ302" s="416"/>
      <c r="DK302" s="416"/>
      <c r="DL302" s="416"/>
      <c r="DM302" s="416"/>
      <c r="DN302" s="416"/>
      <c r="DO302" s="416"/>
      <c r="DP302" s="416"/>
      <c r="DQ302" s="416"/>
      <c r="DR302" s="416"/>
      <c r="DS302" s="416"/>
      <c r="DT302" s="416"/>
      <c r="DU302" s="416"/>
      <c r="DV302" s="416"/>
      <c r="DW302" s="416"/>
      <c r="DX302" s="416"/>
      <c r="DY302" s="416"/>
      <c r="DZ302" s="416"/>
      <c r="EA302" s="416"/>
      <c r="EB302" s="416"/>
      <c r="EC302" s="416"/>
      <c r="ED302" s="416"/>
      <c r="EE302" s="416"/>
      <c r="EF302" s="416"/>
      <c r="EG302" s="416"/>
      <c r="EH302" s="416"/>
      <c r="EI302" s="416"/>
      <c r="EJ302" s="416"/>
      <c r="EK302" s="416"/>
      <c r="EL302" s="416"/>
      <c r="EM302" s="416"/>
      <c r="EN302" s="416"/>
      <c r="EO302" s="416"/>
      <c r="EP302" s="416"/>
      <c r="EQ302" s="416"/>
      <c r="ER302" s="416"/>
      <c r="ES302" s="416"/>
      <c r="ET302" s="416"/>
      <c r="EU302" s="416"/>
      <c r="EV302" s="416"/>
      <c r="EW302" s="416"/>
      <c r="EX302" s="416"/>
      <c r="EY302" s="416"/>
      <c r="EZ302" s="416"/>
      <c r="FA302" s="416"/>
      <c r="FB302" s="416"/>
      <c r="FC302" s="416"/>
      <c r="FD302" s="416"/>
      <c r="FE302" s="416"/>
      <c r="FF302" s="416"/>
      <c r="FG302" s="416"/>
      <c r="FH302" s="416"/>
      <c r="FI302" s="416"/>
      <c r="FJ302" s="416"/>
      <c r="FK302" s="416"/>
      <c r="FL302" s="416"/>
      <c r="FM302" s="416"/>
      <c r="FN302" s="416"/>
      <c r="FO302" s="416"/>
      <c r="FP302" s="416"/>
      <c r="FQ302" s="416"/>
      <c r="FR302" s="416"/>
      <c r="FS302" s="416"/>
      <c r="FT302" s="416"/>
      <c r="FU302" s="416"/>
      <c r="FV302" s="416"/>
      <c r="FW302" s="416"/>
      <c r="FX302" s="416"/>
      <c r="FY302" s="416"/>
      <c r="FZ302" s="416"/>
      <c r="GA302" s="416"/>
      <c r="GB302" s="416"/>
      <c r="GC302" s="416"/>
      <c r="GD302" s="416"/>
      <c r="GE302" s="416"/>
      <c r="GF302" s="416"/>
      <c r="GG302" s="416"/>
      <c r="GH302" s="416"/>
      <c r="GI302" s="416"/>
      <c r="GJ302" s="416"/>
      <c r="GK302" s="416"/>
      <c r="GL302" s="416"/>
      <c r="GM302" s="416"/>
      <c r="GN302" s="416"/>
      <c r="GO302" s="416"/>
      <c r="GP302" s="416"/>
      <c r="GQ302" s="416"/>
      <c r="GR302" s="416"/>
      <c r="GS302" s="416"/>
      <c r="GT302" s="416"/>
      <c r="GU302" s="416"/>
      <c r="GV302" s="416"/>
      <c r="GW302" s="416"/>
      <c r="GX302" s="416"/>
      <c r="GY302" s="416"/>
      <c r="GZ302" s="416"/>
      <c r="HA302" s="416"/>
      <c r="HB302" s="416"/>
      <c r="HC302" s="416"/>
      <c r="HD302" s="416"/>
      <c r="HE302" s="416"/>
      <c r="HF302" s="416"/>
      <c r="HG302" s="416"/>
      <c r="HH302" s="416"/>
      <c r="HI302" s="416"/>
      <c r="HJ302" s="416"/>
      <c r="HK302" s="416"/>
      <c r="HL302" s="416"/>
      <c r="HM302" s="416"/>
      <c r="HN302" s="416"/>
      <c r="HO302" s="416"/>
      <c r="HP302" s="416"/>
      <c r="HQ302" s="416"/>
      <c r="HR302" s="416"/>
    </row>
    <row r="303" spans="1:226" s="418" customFormat="1" ht="21">
      <c r="A303" s="1809"/>
      <c r="B303" s="1827"/>
      <c r="C303" s="1818"/>
      <c r="D303" s="1818"/>
      <c r="E303" s="1346" t="s">
        <v>334</v>
      </c>
      <c r="F303" s="1347">
        <f>SUM(F304,F309,F320)</f>
        <v>4915000</v>
      </c>
      <c r="G303" s="1347">
        <f t="shared" ref="G303:J303" si="30">SUM(G304,G309,G320)</f>
        <v>0</v>
      </c>
      <c r="H303" s="1347">
        <f t="shared" si="30"/>
        <v>0</v>
      </c>
      <c r="I303" s="1347">
        <f t="shared" si="30"/>
        <v>4915000</v>
      </c>
      <c r="J303" s="1348">
        <f t="shared" si="30"/>
        <v>0</v>
      </c>
      <c r="K303" s="416"/>
    </row>
    <row r="304" spans="1:226" s="418" customFormat="1" ht="12" hidden="1">
      <c r="A304" s="1809"/>
      <c r="B304" s="1827"/>
      <c r="C304" s="1818"/>
      <c r="D304" s="1818"/>
      <c r="E304" s="1349" t="s">
        <v>389</v>
      </c>
      <c r="F304" s="1350">
        <f>SUM(F305:F308)</f>
        <v>0</v>
      </c>
      <c r="G304" s="1350">
        <f t="shared" ref="G304:J304" si="31">SUM(G305:G308)</f>
        <v>0</v>
      </c>
      <c r="H304" s="1350">
        <f t="shared" si="31"/>
        <v>0</v>
      </c>
      <c r="I304" s="1350">
        <f t="shared" si="31"/>
        <v>0</v>
      </c>
      <c r="J304" s="1351">
        <f t="shared" si="31"/>
        <v>0</v>
      </c>
      <c r="K304" s="416"/>
    </row>
    <row r="305" spans="1:11" s="418" customFormat="1" ht="15" hidden="1" customHeight="1">
      <c r="A305" s="1809"/>
      <c r="B305" s="1827"/>
      <c r="C305" s="1818"/>
      <c r="D305" s="1818"/>
      <c r="E305" s="1352" t="s">
        <v>434</v>
      </c>
      <c r="F305" s="1353">
        <f t="shared" ref="F305:F308" si="32">SUM(G305:J305)</f>
        <v>0</v>
      </c>
      <c r="G305" s="1353"/>
      <c r="H305" s="1353"/>
      <c r="I305" s="1353"/>
      <c r="J305" s="1354"/>
      <c r="K305" s="416"/>
    </row>
    <row r="306" spans="1:11" s="418" customFormat="1" ht="15" hidden="1" customHeight="1">
      <c r="A306" s="1809"/>
      <c r="B306" s="1827"/>
      <c r="C306" s="1818"/>
      <c r="D306" s="1818"/>
      <c r="E306" s="1352" t="s">
        <v>435</v>
      </c>
      <c r="F306" s="1353">
        <f t="shared" si="32"/>
        <v>0</v>
      </c>
      <c r="G306" s="1353"/>
      <c r="H306" s="1353"/>
      <c r="I306" s="1353"/>
      <c r="J306" s="1354"/>
      <c r="K306" s="416"/>
    </row>
    <row r="307" spans="1:11" s="418" customFormat="1" ht="15" hidden="1" customHeight="1">
      <c r="A307" s="1809"/>
      <c r="B307" s="1827"/>
      <c r="C307" s="1818"/>
      <c r="D307" s="1818"/>
      <c r="E307" s="1352" t="s">
        <v>436</v>
      </c>
      <c r="F307" s="1353">
        <f t="shared" si="32"/>
        <v>0</v>
      </c>
      <c r="G307" s="1353"/>
      <c r="H307" s="1353"/>
      <c r="I307" s="1353"/>
      <c r="J307" s="1354"/>
      <c r="K307" s="416"/>
    </row>
    <row r="308" spans="1:11" s="418" customFormat="1" ht="15" hidden="1" customHeight="1">
      <c r="A308" s="1809"/>
      <c r="B308" s="1827"/>
      <c r="C308" s="1818"/>
      <c r="D308" s="1818"/>
      <c r="E308" s="1352" t="s">
        <v>437</v>
      </c>
      <c r="F308" s="1353">
        <f t="shared" si="32"/>
        <v>0</v>
      </c>
      <c r="G308" s="1353"/>
      <c r="H308" s="1353"/>
      <c r="I308" s="1353"/>
      <c r="J308" s="1354"/>
      <c r="K308" s="416"/>
    </row>
    <row r="309" spans="1:11" s="418" customFormat="1" ht="22.5">
      <c r="A309" s="1809"/>
      <c r="B309" s="1827"/>
      <c r="C309" s="1818"/>
      <c r="D309" s="1818"/>
      <c r="E309" s="1349" t="s">
        <v>335</v>
      </c>
      <c r="F309" s="1350">
        <f>SUM(F310:F319)</f>
        <v>3530000</v>
      </c>
      <c r="G309" s="1350">
        <f>SUM(G310:G319)</f>
        <v>0</v>
      </c>
      <c r="H309" s="1350">
        <f>SUM(H310:H319)</f>
        <v>0</v>
      </c>
      <c r="I309" s="1350">
        <f>SUM(I310:I319)</f>
        <v>3530000</v>
      </c>
      <c r="J309" s="1351">
        <f>SUM(J310:J319)</f>
        <v>0</v>
      </c>
      <c r="K309" s="416"/>
    </row>
    <row r="310" spans="1:11" s="418" customFormat="1" ht="15" customHeight="1">
      <c r="A310" s="1809"/>
      <c r="B310" s="1827"/>
      <c r="C310" s="1818"/>
      <c r="D310" s="1818"/>
      <c r="E310" s="1352" t="s">
        <v>362</v>
      </c>
      <c r="F310" s="1353">
        <f t="shared" ref="F310:F319" si="33">SUM(G310:J310)</f>
        <v>1715691</v>
      </c>
      <c r="G310" s="1353"/>
      <c r="H310" s="1353"/>
      <c r="I310" s="1353">
        <v>1715691</v>
      </c>
      <c r="J310" s="1354"/>
      <c r="K310" s="416"/>
    </row>
    <row r="311" spans="1:11" s="418" customFormat="1" ht="15" customHeight="1">
      <c r="A311" s="1809"/>
      <c r="B311" s="1827"/>
      <c r="C311" s="1818"/>
      <c r="D311" s="1818"/>
      <c r="E311" s="1352" t="s">
        <v>363</v>
      </c>
      <c r="F311" s="1353">
        <f t="shared" si="33"/>
        <v>981309</v>
      </c>
      <c r="G311" s="1353"/>
      <c r="H311" s="1353"/>
      <c r="I311" s="1353">
        <v>981309</v>
      </c>
      <c r="J311" s="1354"/>
      <c r="K311" s="416"/>
    </row>
    <row r="312" spans="1:11" s="418" customFormat="1" ht="15" customHeight="1">
      <c r="A312" s="1809"/>
      <c r="B312" s="1827"/>
      <c r="C312" s="1818"/>
      <c r="D312" s="1818"/>
      <c r="E312" s="1352" t="s">
        <v>364</v>
      </c>
      <c r="F312" s="1353">
        <f t="shared" si="33"/>
        <v>152712</v>
      </c>
      <c r="G312" s="1353"/>
      <c r="H312" s="1353"/>
      <c r="I312" s="1353">
        <v>152712</v>
      </c>
      <c r="J312" s="1354"/>
      <c r="K312" s="416"/>
    </row>
    <row r="313" spans="1:11" s="418" customFormat="1" ht="15" customHeight="1">
      <c r="A313" s="1809"/>
      <c r="B313" s="1827"/>
      <c r="C313" s="1818"/>
      <c r="D313" s="1818"/>
      <c r="E313" s="1352" t="s">
        <v>365</v>
      </c>
      <c r="F313" s="1353">
        <f t="shared" si="33"/>
        <v>87288</v>
      </c>
      <c r="G313" s="1353"/>
      <c r="H313" s="1353"/>
      <c r="I313" s="1353">
        <v>87288</v>
      </c>
      <c r="J313" s="1354"/>
      <c r="K313" s="416"/>
    </row>
    <row r="314" spans="1:11" s="418" customFormat="1" ht="15" customHeight="1">
      <c r="A314" s="1809"/>
      <c r="B314" s="1827"/>
      <c r="C314" s="1818"/>
      <c r="D314" s="1818"/>
      <c r="E314" s="1352" t="s">
        <v>336</v>
      </c>
      <c r="F314" s="1353">
        <f t="shared" si="33"/>
        <v>325149</v>
      </c>
      <c r="G314" s="1353"/>
      <c r="H314" s="1353"/>
      <c r="I314" s="1353">
        <v>325149</v>
      </c>
      <c r="J314" s="1354"/>
      <c r="K314" s="416"/>
    </row>
    <row r="315" spans="1:11" s="418" customFormat="1" ht="15" customHeight="1">
      <c r="A315" s="1809"/>
      <c r="B315" s="1827"/>
      <c r="C315" s="1818"/>
      <c r="D315" s="1818"/>
      <c r="E315" s="1352" t="s">
        <v>337</v>
      </c>
      <c r="F315" s="1353">
        <f t="shared" si="33"/>
        <v>185851</v>
      </c>
      <c r="G315" s="1353"/>
      <c r="H315" s="1353"/>
      <c r="I315" s="1353">
        <v>185851</v>
      </c>
      <c r="J315" s="1354"/>
      <c r="K315" s="416"/>
    </row>
    <row r="316" spans="1:11" s="418" customFormat="1" ht="15" customHeight="1">
      <c r="A316" s="1809"/>
      <c r="B316" s="1827"/>
      <c r="C316" s="1818"/>
      <c r="D316" s="1818"/>
      <c r="E316" s="1352" t="s">
        <v>366</v>
      </c>
      <c r="F316" s="1353">
        <f t="shared" si="33"/>
        <v>45813</v>
      </c>
      <c r="G316" s="1353"/>
      <c r="H316" s="1353"/>
      <c r="I316" s="1353">
        <v>45813</v>
      </c>
      <c r="J316" s="1354"/>
      <c r="K316" s="416"/>
    </row>
    <row r="317" spans="1:11" s="418" customFormat="1" ht="15" customHeight="1">
      <c r="A317" s="1809"/>
      <c r="B317" s="1827"/>
      <c r="C317" s="1818"/>
      <c r="D317" s="1818"/>
      <c r="E317" s="1352" t="s">
        <v>367</v>
      </c>
      <c r="F317" s="1353">
        <f t="shared" si="33"/>
        <v>26187</v>
      </c>
      <c r="G317" s="1353"/>
      <c r="H317" s="1353"/>
      <c r="I317" s="1353">
        <v>26187</v>
      </c>
      <c r="J317" s="1354"/>
      <c r="K317" s="416"/>
    </row>
    <row r="318" spans="1:11" s="418" customFormat="1" ht="15" customHeight="1">
      <c r="A318" s="1809"/>
      <c r="B318" s="1827"/>
      <c r="C318" s="1818"/>
      <c r="D318" s="1818"/>
      <c r="E318" s="1352" t="s">
        <v>338</v>
      </c>
      <c r="F318" s="1353">
        <f t="shared" si="33"/>
        <v>6363</v>
      </c>
      <c r="G318" s="1353"/>
      <c r="H318" s="1353"/>
      <c r="I318" s="1353">
        <v>6363</v>
      </c>
      <c r="J318" s="1354"/>
      <c r="K318" s="416"/>
    </row>
    <row r="319" spans="1:11" s="418" customFormat="1" ht="15" customHeight="1">
      <c r="A319" s="1809"/>
      <c r="B319" s="1827"/>
      <c r="C319" s="1818"/>
      <c r="D319" s="1818"/>
      <c r="E319" s="1352" t="s">
        <v>339</v>
      </c>
      <c r="F319" s="1353">
        <f t="shared" si="33"/>
        <v>3637</v>
      </c>
      <c r="G319" s="1353"/>
      <c r="H319" s="1353"/>
      <c r="I319" s="1353">
        <v>3637</v>
      </c>
      <c r="J319" s="1354"/>
      <c r="K319" s="416"/>
    </row>
    <row r="320" spans="1:11" s="418" customFormat="1" ht="22.5">
      <c r="A320" s="1809"/>
      <c r="B320" s="1827"/>
      <c r="C320" s="1818"/>
      <c r="D320" s="1818"/>
      <c r="E320" s="1349" t="s">
        <v>340</v>
      </c>
      <c r="F320" s="1350">
        <f>SUM(F321:F336)</f>
        <v>1385000</v>
      </c>
      <c r="G320" s="1350">
        <f>SUM(G321:G336)</f>
        <v>0</v>
      </c>
      <c r="H320" s="1350">
        <f>SUM(H321:H336)</f>
        <v>0</v>
      </c>
      <c r="I320" s="1350">
        <f>SUM(I321:I336)</f>
        <v>1385000</v>
      </c>
      <c r="J320" s="1351">
        <f>SUM(J321:J336)</f>
        <v>0</v>
      </c>
      <c r="K320" s="416"/>
    </row>
    <row r="321" spans="1:11" s="418" customFormat="1" ht="15" customHeight="1">
      <c r="A321" s="1809"/>
      <c r="B321" s="1827"/>
      <c r="C321" s="1818"/>
      <c r="D321" s="1818"/>
      <c r="E321" s="1383" t="s">
        <v>438</v>
      </c>
      <c r="F321" s="1353">
        <f t="shared" ref="F321:F336" si="34">SUM(G321:J321)</f>
        <v>190890</v>
      </c>
      <c r="G321" s="1353"/>
      <c r="H321" s="1353"/>
      <c r="I321" s="1353">
        <v>190890</v>
      </c>
      <c r="J321" s="1354"/>
      <c r="K321" s="416"/>
    </row>
    <row r="322" spans="1:11" s="418" customFormat="1" ht="15" customHeight="1">
      <c r="A322" s="1809"/>
      <c r="B322" s="1827"/>
      <c r="C322" s="1818"/>
      <c r="D322" s="1818"/>
      <c r="E322" s="1383" t="s">
        <v>439</v>
      </c>
      <c r="F322" s="1353">
        <f t="shared" si="34"/>
        <v>109110</v>
      </c>
      <c r="G322" s="1353"/>
      <c r="H322" s="1353"/>
      <c r="I322" s="1353">
        <v>109110</v>
      </c>
      <c r="J322" s="1354"/>
      <c r="K322" s="416"/>
    </row>
    <row r="323" spans="1:11" s="418" customFormat="1" ht="15" customHeight="1">
      <c r="A323" s="1809"/>
      <c r="B323" s="1827"/>
      <c r="C323" s="1818"/>
      <c r="D323" s="1818"/>
      <c r="E323" s="1352" t="s">
        <v>341</v>
      </c>
      <c r="F323" s="1353">
        <f t="shared" si="34"/>
        <v>149530</v>
      </c>
      <c r="G323" s="1353"/>
      <c r="H323" s="1353"/>
      <c r="I323" s="1353">
        <v>149530</v>
      </c>
      <c r="J323" s="1354"/>
      <c r="K323" s="416"/>
    </row>
    <row r="324" spans="1:11" s="418" customFormat="1" ht="15" customHeight="1">
      <c r="A324" s="1809"/>
      <c r="B324" s="1827"/>
      <c r="C324" s="1818"/>
      <c r="D324" s="1818"/>
      <c r="E324" s="1352" t="s">
        <v>342</v>
      </c>
      <c r="F324" s="1353">
        <f t="shared" si="34"/>
        <v>85470</v>
      </c>
      <c r="G324" s="1353"/>
      <c r="H324" s="1353"/>
      <c r="I324" s="1353">
        <v>85470</v>
      </c>
      <c r="J324" s="1354"/>
      <c r="K324" s="416"/>
    </row>
    <row r="325" spans="1:11" s="418" customFormat="1" ht="15" customHeight="1">
      <c r="A325" s="1809"/>
      <c r="B325" s="1827"/>
      <c r="C325" s="1818"/>
      <c r="D325" s="1818"/>
      <c r="E325" s="1352" t="s">
        <v>440</v>
      </c>
      <c r="F325" s="1353">
        <f t="shared" si="34"/>
        <v>1908</v>
      </c>
      <c r="G325" s="1353"/>
      <c r="H325" s="1353"/>
      <c r="I325" s="1353">
        <v>1908</v>
      </c>
      <c r="J325" s="1354"/>
      <c r="K325" s="416"/>
    </row>
    <row r="326" spans="1:11" s="418" customFormat="1" ht="15" customHeight="1">
      <c r="A326" s="1809"/>
      <c r="B326" s="1827"/>
      <c r="C326" s="1818"/>
      <c r="D326" s="1818"/>
      <c r="E326" s="1352" t="s">
        <v>441</v>
      </c>
      <c r="F326" s="1353">
        <f t="shared" si="34"/>
        <v>1092</v>
      </c>
      <c r="G326" s="1353"/>
      <c r="H326" s="1353"/>
      <c r="I326" s="1353">
        <v>1092</v>
      </c>
      <c r="J326" s="1354"/>
      <c r="K326" s="416"/>
    </row>
    <row r="327" spans="1:11" s="418" customFormat="1" ht="15" customHeight="1">
      <c r="A327" s="1809"/>
      <c r="B327" s="1827"/>
      <c r="C327" s="1818"/>
      <c r="D327" s="1818"/>
      <c r="E327" s="1352" t="s">
        <v>343</v>
      </c>
      <c r="F327" s="1353">
        <f t="shared" si="34"/>
        <v>491223</v>
      </c>
      <c r="G327" s="1353"/>
      <c r="H327" s="1353"/>
      <c r="I327" s="1353">
        <v>491223</v>
      </c>
      <c r="J327" s="1354"/>
      <c r="K327" s="416"/>
    </row>
    <row r="328" spans="1:11" s="418" customFormat="1" ht="15" customHeight="1">
      <c r="A328" s="1809"/>
      <c r="B328" s="1827"/>
      <c r="C328" s="1818"/>
      <c r="D328" s="1818"/>
      <c r="E328" s="1352" t="s">
        <v>344</v>
      </c>
      <c r="F328" s="1353">
        <f t="shared" si="34"/>
        <v>280777</v>
      </c>
      <c r="G328" s="1353"/>
      <c r="H328" s="1353"/>
      <c r="I328" s="1353">
        <v>280777</v>
      </c>
      <c r="J328" s="1354"/>
      <c r="K328" s="416"/>
    </row>
    <row r="329" spans="1:11" s="418" customFormat="1" ht="15" customHeight="1">
      <c r="A329" s="1809"/>
      <c r="B329" s="1827"/>
      <c r="C329" s="1818"/>
      <c r="D329" s="1818"/>
      <c r="E329" s="1352" t="s">
        <v>352</v>
      </c>
      <c r="F329" s="1353">
        <f t="shared" si="34"/>
        <v>1908</v>
      </c>
      <c r="G329" s="1353"/>
      <c r="H329" s="1353"/>
      <c r="I329" s="1353">
        <v>1908</v>
      </c>
      <c r="J329" s="1354"/>
      <c r="K329" s="416"/>
    </row>
    <row r="330" spans="1:11" s="418" customFormat="1" ht="15" customHeight="1">
      <c r="A330" s="1809"/>
      <c r="B330" s="1827"/>
      <c r="C330" s="1818"/>
      <c r="D330" s="1818"/>
      <c r="E330" s="1352" t="s">
        <v>353</v>
      </c>
      <c r="F330" s="1353">
        <f t="shared" si="34"/>
        <v>1092</v>
      </c>
      <c r="G330" s="1353"/>
      <c r="H330" s="1353"/>
      <c r="I330" s="1353">
        <v>1092</v>
      </c>
      <c r="J330" s="1354"/>
      <c r="K330" s="416"/>
    </row>
    <row r="331" spans="1:11" s="418" customFormat="1" ht="15" customHeight="1">
      <c r="A331" s="1809"/>
      <c r="B331" s="1827"/>
      <c r="C331" s="1818"/>
      <c r="D331" s="1818"/>
      <c r="E331" s="1352" t="s">
        <v>345</v>
      </c>
      <c r="F331" s="1353">
        <f t="shared" si="34"/>
        <v>14635</v>
      </c>
      <c r="G331" s="1353"/>
      <c r="H331" s="1353"/>
      <c r="I331" s="1353">
        <v>14635</v>
      </c>
      <c r="J331" s="1354"/>
      <c r="K331" s="416"/>
    </row>
    <row r="332" spans="1:11" s="418" customFormat="1" ht="15" customHeight="1">
      <c r="A332" s="1809"/>
      <c r="B332" s="1827"/>
      <c r="C332" s="1818"/>
      <c r="D332" s="1818"/>
      <c r="E332" s="1352" t="s">
        <v>346</v>
      </c>
      <c r="F332" s="1353">
        <f t="shared" si="34"/>
        <v>8365</v>
      </c>
      <c r="G332" s="1353"/>
      <c r="H332" s="1353"/>
      <c r="I332" s="1353">
        <v>8365</v>
      </c>
      <c r="J332" s="1354"/>
      <c r="K332" s="416"/>
    </row>
    <row r="333" spans="1:11" s="418" customFormat="1" ht="15" customHeight="1">
      <c r="A333" s="1809"/>
      <c r="B333" s="1827"/>
      <c r="C333" s="1818"/>
      <c r="D333" s="1818"/>
      <c r="E333" s="1352" t="s">
        <v>442</v>
      </c>
      <c r="F333" s="1353">
        <f t="shared" si="34"/>
        <v>9544</v>
      </c>
      <c r="G333" s="1353"/>
      <c r="H333" s="1353"/>
      <c r="I333" s="1353">
        <v>9544</v>
      </c>
      <c r="J333" s="1354"/>
      <c r="K333" s="416"/>
    </row>
    <row r="334" spans="1:11" s="418" customFormat="1" ht="15" customHeight="1">
      <c r="A334" s="1809"/>
      <c r="B334" s="1827"/>
      <c r="C334" s="1818"/>
      <c r="D334" s="1818"/>
      <c r="E334" s="1352" t="s">
        <v>443</v>
      </c>
      <c r="F334" s="1353">
        <f t="shared" si="34"/>
        <v>5456</v>
      </c>
      <c r="G334" s="1353"/>
      <c r="H334" s="1353"/>
      <c r="I334" s="1353">
        <v>5456</v>
      </c>
      <c r="J334" s="1354"/>
      <c r="K334" s="416"/>
    </row>
    <row r="335" spans="1:11" s="418" customFormat="1" ht="15" customHeight="1">
      <c r="A335" s="1809"/>
      <c r="B335" s="1827"/>
      <c r="C335" s="1818"/>
      <c r="D335" s="1818"/>
      <c r="E335" s="1352" t="s">
        <v>380</v>
      </c>
      <c r="F335" s="1353">
        <f t="shared" si="34"/>
        <v>21634</v>
      </c>
      <c r="G335" s="1353"/>
      <c r="H335" s="1353"/>
      <c r="I335" s="1353">
        <v>21634</v>
      </c>
      <c r="J335" s="1354"/>
      <c r="K335" s="416"/>
    </row>
    <row r="336" spans="1:11" s="418" customFormat="1" ht="15" customHeight="1">
      <c r="A336" s="1809"/>
      <c r="B336" s="1827"/>
      <c r="C336" s="1818"/>
      <c r="D336" s="1818"/>
      <c r="E336" s="1352" t="s">
        <v>381</v>
      </c>
      <c r="F336" s="1353">
        <f t="shared" si="34"/>
        <v>12366</v>
      </c>
      <c r="G336" s="1353"/>
      <c r="H336" s="1353"/>
      <c r="I336" s="1353">
        <v>12366</v>
      </c>
      <c r="J336" s="1354"/>
      <c r="K336" s="416"/>
    </row>
    <row r="337" spans="1:226" s="418" customFormat="1" ht="20.25" customHeight="1" thickBot="1">
      <c r="A337" s="1810"/>
      <c r="B337" s="1828"/>
      <c r="C337" s="1819"/>
      <c r="D337" s="1819"/>
      <c r="E337" s="1364" t="s">
        <v>324</v>
      </c>
      <c r="F337" s="1365">
        <f>SUM(F338:F339)</f>
        <v>0</v>
      </c>
      <c r="G337" s="1365">
        <f>SUM(G338:G339)</f>
        <v>0</v>
      </c>
      <c r="H337" s="1365">
        <f>SUM(H338:H339)</f>
        <v>0</v>
      </c>
      <c r="I337" s="1365">
        <f>SUM(I338:I339)</f>
        <v>0</v>
      </c>
      <c r="J337" s="1366">
        <f>SUM(J338:J339)</f>
        <v>0</v>
      </c>
      <c r="K337" s="416"/>
    </row>
    <row r="338" spans="1:226" s="418" customFormat="1" ht="15" hidden="1" customHeight="1">
      <c r="A338" s="426"/>
      <c r="B338" s="1378"/>
      <c r="C338" s="1369"/>
      <c r="D338" s="1369"/>
      <c r="E338" s="424"/>
      <c r="F338" s="425">
        <f>SUM(G338:J338)</f>
        <v>0</v>
      </c>
      <c r="G338" s="425"/>
      <c r="H338" s="425"/>
      <c r="I338" s="425"/>
      <c r="J338" s="1403"/>
      <c r="K338" s="416"/>
    </row>
    <row r="339" spans="1:226" s="418" customFormat="1" ht="15" hidden="1" customHeight="1">
      <c r="A339" s="420"/>
      <c r="B339" s="421"/>
      <c r="C339" s="423"/>
      <c r="D339" s="423"/>
      <c r="E339" s="1404"/>
      <c r="F339" s="1405">
        <f>SUM(G339:J339)</f>
        <v>0</v>
      </c>
      <c r="G339" s="1405"/>
      <c r="H339" s="1405"/>
      <c r="I339" s="1405"/>
      <c r="J339" s="1406"/>
      <c r="K339" s="416"/>
    </row>
    <row r="340" spans="1:226" s="418" customFormat="1" ht="24.95" customHeight="1">
      <c r="A340" s="1773" t="s">
        <v>444</v>
      </c>
      <c r="B340" s="1775" t="s">
        <v>445</v>
      </c>
      <c r="C340" s="1807" t="s">
        <v>446</v>
      </c>
      <c r="D340" s="1807" t="s">
        <v>447</v>
      </c>
      <c r="E340" s="1343" t="s">
        <v>322</v>
      </c>
      <c r="F340" s="1344">
        <f>SUM(F341,F368)</f>
        <v>600000</v>
      </c>
      <c r="G340" s="1344">
        <f>SUM(G341,G368)</f>
        <v>0</v>
      </c>
      <c r="H340" s="1344">
        <f>SUM(H341,H368)</f>
        <v>0</v>
      </c>
      <c r="I340" s="1344">
        <f>SUM(I341,I368)</f>
        <v>600000</v>
      </c>
      <c r="J340" s="1345">
        <f>SUM(J341,J368)</f>
        <v>0</v>
      </c>
      <c r="K340" s="417"/>
      <c r="L340" s="416"/>
      <c r="M340" s="416"/>
      <c r="N340" s="416"/>
      <c r="O340" s="416"/>
      <c r="P340" s="416"/>
      <c r="Q340" s="416"/>
      <c r="R340" s="416"/>
      <c r="S340" s="416"/>
      <c r="T340" s="416"/>
      <c r="U340" s="416"/>
      <c r="V340" s="416"/>
      <c r="W340" s="416"/>
      <c r="X340" s="416"/>
      <c r="Y340" s="416"/>
      <c r="Z340" s="416"/>
      <c r="AA340" s="416"/>
      <c r="AB340" s="416"/>
      <c r="AC340" s="416"/>
      <c r="AD340" s="416"/>
      <c r="AE340" s="416"/>
      <c r="AF340" s="416"/>
      <c r="AG340" s="416"/>
      <c r="AH340" s="416"/>
      <c r="AI340" s="416"/>
      <c r="AJ340" s="416"/>
      <c r="AK340" s="416"/>
      <c r="AL340" s="416"/>
      <c r="AM340" s="416"/>
      <c r="AN340" s="416"/>
      <c r="AO340" s="416"/>
      <c r="AP340" s="416"/>
      <c r="AQ340" s="416"/>
      <c r="AR340" s="416"/>
      <c r="AS340" s="416"/>
      <c r="AT340" s="416"/>
      <c r="AU340" s="416"/>
      <c r="AV340" s="416"/>
      <c r="AW340" s="416"/>
      <c r="AX340" s="416"/>
      <c r="AY340" s="416"/>
      <c r="AZ340" s="416"/>
      <c r="BA340" s="416"/>
      <c r="BB340" s="416"/>
      <c r="BC340" s="416"/>
      <c r="BD340" s="416"/>
      <c r="BE340" s="416"/>
      <c r="BF340" s="416"/>
      <c r="BG340" s="416"/>
      <c r="BH340" s="416"/>
      <c r="BI340" s="416"/>
      <c r="BJ340" s="416"/>
      <c r="BK340" s="416"/>
      <c r="BL340" s="416"/>
      <c r="BM340" s="416"/>
      <c r="BN340" s="416"/>
      <c r="BO340" s="416"/>
      <c r="BP340" s="416"/>
      <c r="BQ340" s="416"/>
      <c r="BR340" s="416"/>
      <c r="BS340" s="416"/>
      <c r="BT340" s="416"/>
      <c r="BU340" s="416"/>
      <c r="BV340" s="416"/>
      <c r="BW340" s="416"/>
      <c r="BX340" s="416"/>
      <c r="BY340" s="416"/>
      <c r="BZ340" s="416"/>
      <c r="CA340" s="416"/>
      <c r="CB340" s="416"/>
      <c r="CC340" s="416"/>
      <c r="CD340" s="416"/>
      <c r="CE340" s="416"/>
      <c r="CF340" s="416"/>
      <c r="CG340" s="416"/>
      <c r="CH340" s="416"/>
      <c r="CI340" s="416"/>
      <c r="CJ340" s="416"/>
      <c r="CK340" s="416"/>
      <c r="CL340" s="416"/>
      <c r="CM340" s="416"/>
      <c r="CN340" s="416"/>
      <c r="CO340" s="416"/>
      <c r="CP340" s="416"/>
      <c r="CQ340" s="416"/>
      <c r="CR340" s="416"/>
      <c r="CS340" s="416"/>
      <c r="CT340" s="416"/>
      <c r="CU340" s="416"/>
      <c r="CV340" s="416"/>
      <c r="CW340" s="416"/>
      <c r="CX340" s="416"/>
      <c r="CY340" s="416"/>
      <c r="CZ340" s="416"/>
      <c r="DA340" s="416"/>
      <c r="DB340" s="416"/>
      <c r="DC340" s="416"/>
      <c r="DD340" s="416"/>
      <c r="DE340" s="416"/>
      <c r="DF340" s="416"/>
      <c r="DG340" s="416"/>
      <c r="DH340" s="416"/>
      <c r="DI340" s="416"/>
      <c r="DJ340" s="416"/>
      <c r="DK340" s="416"/>
      <c r="DL340" s="416"/>
      <c r="DM340" s="416"/>
      <c r="DN340" s="416"/>
      <c r="DO340" s="416"/>
      <c r="DP340" s="416"/>
      <c r="DQ340" s="416"/>
      <c r="DR340" s="416"/>
      <c r="DS340" s="416"/>
      <c r="DT340" s="416"/>
      <c r="DU340" s="416"/>
      <c r="DV340" s="416"/>
      <c r="DW340" s="416"/>
      <c r="DX340" s="416"/>
      <c r="DY340" s="416"/>
      <c r="DZ340" s="416"/>
      <c r="EA340" s="416"/>
      <c r="EB340" s="416"/>
      <c r="EC340" s="416"/>
      <c r="ED340" s="416"/>
      <c r="EE340" s="416"/>
      <c r="EF340" s="416"/>
      <c r="EG340" s="416"/>
      <c r="EH340" s="416"/>
      <c r="EI340" s="416"/>
      <c r="EJ340" s="416"/>
      <c r="EK340" s="416"/>
      <c r="EL340" s="416"/>
      <c r="EM340" s="416"/>
      <c r="EN340" s="416"/>
      <c r="EO340" s="416"/>
      <c r="EP340" s="416"/>
      <c r="EQ340" s="416"/>
      <c r="ER340" s="416"/>
      <c r="ES340" s="416"/>
      <c r="ET340" s="416"/>
      <c r="EU340" s="416"/>
      <c r="EV340" s="416"/>
      <c r="EW340" s="416"/>
      <c r="EX340" s="416"/>
      <c r="EY340" s="416"/>
      <c r="EZ340" s="416"/>
      <c r="FA340" s="416"/>
      <c r="FB340" s="416"/>
      <c r="FC340" s="416"/>
      <c r="FD340" s="416"/>
      <c r="FE340" s="416"/>
      <c r="FF340" s="416"/>
      <c r="FG340" s="416"/>
      <c r="FH340" s="416"/>
      <c r="FI340" s="416"/>
      <c r="FJ340" s="416"/>
      <c r="FK340" s="416"/>
      <c r="FL340" s="416"/>
      <c r="FM340" s="416"/>
      <c r="FN340" s="416"/>
      <c r="FO340" s="416"/>
      <c r="FP340" s="416"/>
      <c r="FQ340" s="416"/>
      <c r="FR340" s="416"/>
      <c r="FS340" s="416"/>
      <c r="FT340" s="416"/>
      <c r="FU340" s="416"/>
      <c r="FV340" s="416"/>
      <c r="FW340" s="416"/>
      <c r="FX340" s="416"/>
      <c r="FY340" s="416"/>
      <c r="FZ340" s="416"/>
      <c r="GA340" s="416"/>
      <c r="GB340" s="416"/>
      <c r="GC340" s="416"/>
      <c r="GD340" s="416"/>
      <c r="GE340" s="416"/>
      <c r="GF340" s="416"/>
      <c r="GG340" s="416"/>
      <c r="GH340" s="416"/>
      <c r="GI340" s="416"/>
      <c r="GJ340" s="416"/>
      <c r="GK340" s="416"/>
      <c r="GL340" s="416"/>
      <c r="GM340" s="416"/>
      <c r="GN340" s="416"/>
      <c r="GO340" s="416"/>
      <c r="GP340" s="416"/>
      <c r="GQ340" s="416"/>
      <c r="GR340" s="416"/>
      <c r="GS340" s="416"/>
      <c r="GT340" s="416"/>
      <c r="GU340" s="416"/>
      <c r="GV340" s="416"/>
      <c r="GW340" s="416"/>
      <c r="GX340" s="416"/>
      <c r="GY340" s="416"/>
      <c r="GZ340" s="416"/>
      <c r="HA340" s="416"/>
      <c r="HB340" s="416"/>
      <c r="HC340" s="416"/>
      <c r="HD340" s="416"/>
      <c r="HE340" s="416"/>
      <c r="HF340" s="416"/>
      <c r="HG340" s="416"/>
      <c r="HH340" s="416"/>
      <c r="HI340" s="416"/>
      <c r="HJ340" s="416"/>
      <c r="HK340" s="416"/>
      <c r="HL340" s="416"/>
      <c r="HM340" s="416"/>
      <c r="HN340" s="416"/>
      <c r="HO340" s="416"/>
      <c r="HP340" s="416"/>
      <c r="HQ340" s="416"/>
      <c r="HR340" s="416"/>
    </row>
    <row r="341" spans="1:226" s="418" customFormat="1" ht="21">
      <c r="A341" s="1809"/>
      <c r="B341" s="1827"/>
      <c r="C341" s="1818"/>
      <c r="D341" s="1818"/>
      <c r="E341" s="1346" t="s">
        <v>334</v>
      </c>
      <c r="F341" s="1347">
        <f>SUM(F342,F353)</f>
        <v>600000</v>
      </c>
      <c r="G341" s="1347">
        <f>SUM(G342,G353)</f>
        <v>0</v>
      </c>
      <c r="H341" s="1347">
        <f>SUM(H342,H353)</f>
        <v>0</v>
      </c>
      <c r="I341" s="1347">
        <f>SUM(I342,I353)</f>
        <v>600000</v>
      </c>
      <c r="J341" s="1348">
        <f>SUM(J342,J353)</f>
        <v>0</v>
      </c>
      <c r="K341" s="416"/>
    </row>
    <row r="342" spans="1:226" s="418" customFormat="1" ht="24.95" customHeight="1">
      <c r="A342" s="1809"/>
      <c r="B342" s="1827"/>
      <c r="C342" s="1818"/>
      <c r="D342" s="1818"/>
      <c r="E342" s="1349" t="s">
        <v>335</v>
      </c>
      <c r="F342" s="1350">
        <f>SUM(F343:F352)</f>
        <v>559000</v>
      </c>
      <c r="G342" s="1350">
        <f>SUM(G343:G352)</f>
        <v>0</v>
      </c>
      <c r="H342" s="1350">
        <f>SUM(H343:H352)</f>
        <v>0</v>
      </c>
      <c r="I342" s="1350">
        <f>SUM(I343:I352)</f>
        <v>559000</v>
      </c>
      <c r="J342" s="1351">
        <f>SUM(J343:J352)</f>
        <v>0</v>
      </c>
      <c r="K342" s="416"/>
    </row>
    <row r="343" spans="1:226" s="418" customFormat="1" ht="15" customHeight="1">
      <c r="A343" s="1809"/>
      <c r="B343" s="1827"/>
      <c r="C343" s="1818"/>
      <c r="D343" s="1818"/>
      <c r="E343" s="1352" t="s">
        <v>362</v>
      </c>
      <c r="F343" s="1353">
        <f t="shared" ref="F343:F352" si="35">SUM(G343:J343)</f>
        <v>325500</v>
      </c>
      <c r="G343" s="1353"/>
      <c r="H343" s="1353"/>
      <c r="I343" s="1353">
        <v>325500</v>
      </c>
      <c r="J343" s="1354"/>
      <c r="K343" s="416"/>
    </row>
    <row r="344" spans="1:226" s="418" customFormat="1" ht="15" customHeight="1">
      <c r="A344" s="1809"/>
      <c r="B344" s="1827"/>
      <c r="C344" s="1818"/>
      <c r="D344" s="1818"/>
      <c r="E344" s="1352" t="s">
        <v>363</v>
      </c>
      <c r="F344" s="1353">
        <f t="shared" si="35"/>
        <v>108500</v>
      </c>
      <c r="G344" s="1353"/>
      <c r="H344" s="1353"/>
      <c r="I344" s="1353">
        <v>108500</v>
      </c>
      <c r="J344" s="1354"/>
      <c r="K344" s="416"/>
    </row>
    <row r="345" spans="1:226" s="418" customFormat="1" ht="15" customHeight="1">
      <c r="A345" s="1809"/>
      <c r="B345" s="1827"/>
      <c r="C345" s="1818"/>
      <c r="D345" s="1818"/>
      <c r="E345" s="1352" t="s">
        <v>364</v>
      </c>
      <c r="F345" s="1353">
        <f t="shared" si="35"/>
        <v>24000</v>
      </c>
      <c r="G345" s="1353"/>
      <c r="H345" s="1353"/>
      <c r="I345" s="1353">
        <v>24000</v>
      </c>
      <c r="J345" s="1354"/>
      <c r="K345" s="416"/>
    </row>
    <row r="346" spans="1:226" s="418" customFormat="1" ht="15" customHeight="1">
      <c r="A346" s="1809"/>
      <c r="B346" s="1827"/>
      <c r="C346" s="1818"/>
      <c r="D346" s="1818"/>
      <c r="E346" s="1352" t="s">
        <v>365</v>
      </c>
      <c r="F346" s="1353">
        <f t="shared" si="35"/>
        <v>8000</v>
      </c>
      <c r="G346" s="1353"/>
      <c r="H346" s="1353"/>
      <c r="I346" s="1353">
        <v>8000</v>
      </c>
      <c r="J346" s="1354"/>
      <c r="K346" s="416"/>
    </row>
    <row r="347" spans="1:226" s="418" customFormat="1" ht="15" customHeight="1">
      <c r="A347" s="1809"/>
      <c r="B347" s="1827"/>
      <c r="C347" s="1818"/>
      <c r="D347" s="1818"/>
      <c r="E347" s="1352" t="s">
        <v>336</v>
      </c>
      <c r="F347" s="1353">
        <f t="shared" si="35"/>
        <v>60750</v>
      </c>
      <c r="G347" s="1353"/>
      <c r="H347" s="1353"/>
      <c r="I347" s="1353">
        <v>60750</v>
      </c>
      <c r="J347" s="1354"/>
      <c r="K347" s="416"/>
    </row>
    <row r="348" spans="1:226" s="418" customFormat="1" ht="15" customHeight="1">
      <c r="A348" s="1809"/>
      <c r="B348" s="1827"/>
      <c r="C348" s="1818"/>
      <c r="D348" s="1818"/>
      <c r="E348" s="1352" t="s">
        <v>337</v>
      </c>
      <c r="F348" s="1353">
        <f t="shared" si="35"/>
        <v>20250</v>
      </c>
      <c r="G348" s="1353"/>
      <c r="H348" s="1353"/>
      <c r="I348" s="1353">
        <v>20250</v>
      </c>
      <c r="J348" s="1354"/>
      <c r="K348" s="416"/>
    </row>
    <row r="349" spans="1:226" s="418" customFormat="1" ht="15" customHeight="1">
      <c r="A349" s="1809"/>
      <c r="B349" s="1827"/>
      <c r="C349" s="1818"/>
      <c r="D349" s="1818"/>
      <c r="E349" s="1352" t="s">
        <v>366</v>
      </c>
      <c r="F349" s="1353">
        <f t="shared" si="35"/>
        <v>8550</v>
      </c>
      <c r="G349" s="1353"/>
      <c r="H349" s="1353"/>
      <c r="I349" s="1353">
        <v>8550</v>
      </c>
      <c r="J349" s="1354"/>
      <c r="K349" s="416"/>
    </row>
    <row r="350" spans="1:226" s="418" customFormat="1" ht="15" customHeight="1">
      <c r="A350" s="1809"/>
      <c r="B350" s="1827"/>
      <c r="C350" s="1818"/>
      <c r="D350" s="1818"/>
      <c r="E350" s="1352" t="s">
        <v>367</v>
      </c>
      <c r="F350" s="1353">
        <f t="shared" si="35"/>
        <v>2850</v>
      </c>
      <c r="G350" s="1353"/>
      <c r="H350" s="1353"/>
      <c r="I350" s="1353">
        <v>2850</v>
      </c>
      <c r="J350" s="1354"/>
      <c r="K350" s="416"/>
    </row>
    <row r="351" spans="1:226" s="418" customFormat="1" ht="15" customHeight="1">
      <c r="A351" s="1809"/>
      <c r="B351" s="1827"/>
      <c r="C351" s="1818"/>
      <c r="D351" s="1818"/>
      <c r="E351" s="1352" t="s">
        <v>338</v>
      </c>
      <c r="F351" s="1353">
        <f t="shared" si="35"/>
        <v>450</v>
      </c>
      <c r="G351" s="1353"/>
      <c r="H351" s="1353"/>
      <c r="I351" s="1353">
        <v>450</v>
      </c>
      <c r="J351" s="1354"/>
      <c r="K351" s="416"/>
    </row>
    <row r="352" spans="1:226" s="418" customFormat="1" ht="15" customHeight="1">
      <c r="A352" s="1809"/>
      <c r="B352" s="1827"/>
      <c r="C352" s="1818"/>
      <c r="D352" s="1818"/>
      <c r="E352" s="1352" t="s">
        <v>339</v>
      </c>
      <c r="F352" s="1353">
        <f t="shared" si="35"/>
        <v>150</v>
      </c>
      <c r="G352" s="1353"/>
      <c r="H352" s="1353"/>
      <c r="I352" s="1353">
        <v>150</v>
      </c>
      <c r="J352" s="1354"/>
      <c r="K352" s="416"/>
    </row>
    <row r="353" spans="1:11" s="418" customFormat="1" ht="24.95" customHeight="1">
      <c r="A353" s="1809"/>
      <c r="B353" s="1827"/>
      <c r="C353" s="1818"/>
      <c r="D353" s="1818"/>
      <c r="E353" s="1349" t="s">
        <v>340</v>
      </c>
      <c r="F353" s="1350">
        <f>SUM(F354:F367)</f>
        <v>41000</v>
      </c>
      <c r="G353" s="1350">
        <f>SUM(G354:G367)</f>
        <v>0</v>
      </c>
      <c r="H353" s="1350">
        <f>SUM(H354:H367)</f>
        <v>0</v>
      </c>
      <c r="I353" s="1350">
        <f>SUM(I354:I367)</f>
        <v>41000</v>
      </c>
      <c r="J353" s="1351">
        <f>SUM(J354:J367)</f>
        <v>0</v>
      </c>
      <c r="K353" s="416"/>
    </row>
    <row r="354" spans="1:11" s="418" customFormat="1" ht="15" hidden="1" customHeight="1">
      <c r="A354" s="1809"/>
      <c r="B354" s="1827"/>
      <c r="C354" s="1818"/>
      <c r="D354" s="1818"/>
      <c r="E354" s="1352" t="s">
        <v>438</v>
      </c>
      <c r="F354" s="1353">
        <f t="shared" ref="F354:F367" si="36">SUM(G354:J354)</f>
        <v>0</v>
      </c>
      <c r="G354" s="1353"/>
      <c r="H354" s="1353"/>
      <c r="I354" s="1353"/>
      <c r="J354" s="1354"/>
      <c r="K354" s="416"/>
    </row>
    <row r="355" spans="1:11" s="418" customFormat="1" ht="15" hidden="1" customHeight="1">
      <c r="A355" s="1809"/>
      <c r="B355" s="1827"/>
      <c r="C355" s="1818"/>
      <c r="D355" s="1818"/>
      <c r="E355" s="1352" t="s">
        <v>439</v>
      </c>
      <c r="F355" s="1353">
        <f t="shared" si="36"/>
        <v>0</v>
      </c>
      <c r="G355" s="1353"/>
      <c r="H355" s="1353"/>
      <c r="I355" s="1353"/>
      <c r="J355" s="1354"/>
      <c r="K355" s="416"/>
    </row>
    <row r="356" spans="1:11" s="418" customFormat="1" ht="15" customHeight="1">
      <c r="A356" s="1809"/>
      <c r="B356" s="1827"/>
      <c r="C356" s="1818"/>
      <c r="D356" s="1818"/>
      <c r="E356" s="1352" t="s">
        <v>341</v>
      </c>
      <c r="F356" s="1353">
        <f t="shared" si="36"/>
        <v>5250</v>
      </c>
      <c r="G356" s="1353"/>
      <c r="H356" s="1353"/>
      <c r="I356" s="1353">
        <v>5250</v>
      </c>
      <c r="J356" s="1354"/>
      <c r="K356" s="416"/>
    </row>
    <row r="357" spans="1:11" s="418" customFormat="1" ht="15" customHeight="1">
      <c r="A357" s="1809"/>
      <c r="B357" s="1827"/>
      <c r="C357" s="1818"/>
      <c r="D357" s="1818"/>
      <c r="E357" s="1352" t="s">
        <v>342</v>
      </c>
      <c r="F357" s="1353">
        <f t="shared" si="36"/>
        <v>1750</v>
      </c>
      <c r="G357" s="1353"/>
      <c r="H357" s="1353"/>
      <c r="I357" s="1353">
        <v>1750</v>
      </c>
      <c r="J357" s="1354"/>
      <c r="K357" s="416"/>
    </row>
    <row r="358" spans="1:11" s="418" customFormat="1" ht="15" customHeight="1">
      <c r="A358" s="1809"/>
      <c r="B358" s="1827"/>
      <c r="C358" s="1818"/>
      <c r="D358" s="1818"/>
      <c r="E358" s="1352" t="s">
        <v>440</v>
      </c>
      <c r="F358" s="1353">
        <f t="shared" si="36"/>
        <v>1500</v>
      </c>
      <c r="G358" s="1353"/>
      <c r="H358" s="1353"/>
      <c r="I358" s="1353">
        <v>1500</v>
      </c>
      <c r="J358" s="1354"/>
      <c r="K358" s="416"/>
    </row>
    <row r="359" spans="1:11" s="418" customFormat="1" ht="15" customHeight="1">
      <c r="A359" s="1809"/>
      <c r="B359" s="1827"/>
      <c r="C359" s="1818"/>
      <c r="D359" s="1818"/>
      <c r="E359" s="1352" t="s">
        <v>441</v>
      </c>
      <c r="F359" s="1353">
        <f t="shared" si="36"/>
        <v>500</v>
      </c>
      <c r="G359" s="1353"/>
      <c r="H359" s="1353"/>
      <c r="I359" s="1353">
        <v>500</v>
      </c>
      <c r="J359" s="1354"/>
      <c r="K359" s="416"/>
    </row>
    <row r="360" spans="1:11" s="418" customFormat="1" ht="15" customHeight="1">
      <c r="A360" s="1809"/>
      <c r="B360" s="1827"/>
      <c r="C360" s="1818"/>
      <c r="D360" s="1818"/>
      <c r="E360" s="1352" t="s">
        <v>343</v>
      </c>
      <c r="F360" s="1353">
        <f t="shared" si="36"/>
        <v>7500</v>
      </c>
      <c r="G360" s="1353"/>
      <c r="H360" s="1353"/>
      <c r="I360" s="1353">
        <v>7500</v>
      </c>
      <c r="J360" s="1354"/>
      <c r="K360" s="416"/>
    </row>
    <row r="361" spans="1:11" s="418" customFormat="1" ht="15" customHeight="1">
      <c r="A361" s="1809"/>
      <c r="B361" s="1827"/>
      <c r="C361" s="1818"/>
      <c r="D361" s="1818"/>
      <c r="E361" s="1352" t="s">
        <v>344</v>
      </c>
      <c r="F361" s="1353">
        <f t="shared" si="36"/>
        <v>2500</v>
      </c>
      <c r="G361" s="1353"/>
      <c r="H361" s="1353"/>
      <c r="I361" s="1353">
        <v>2500</v>
      </c>
      <c r="J361" s="1354"/>
      <c r="K361" s="416"/>
    </row>
    <row r="362" spans="1:11" s="418" customFormat="1" ht="15" customHeight="1">
      <c r="A362" s="1809"/>
      <c r="B362" s="1827"/>
      <c r="C362" s="1818"/>
      <c r="D362" s="1818"/>
      <c r="E362" s="1352" t="s">
        <v>352</v>
      </c>
      <c r="F362" s="1353">
        <f t="shared" si="36"/>
        <v>1500</v>
      </c>
      <c r="G362" s="1353"/>
      <c r="H362" s="1353"/>
      <c r="I362" s="1353">
        <v>1500</v>
      </c>
      <c r="J362" s="1354"/>
      <c r="K362" s="416"/>
    </row>
    <row r="363" spans="1:11" s="418" customFormat="1" ht="15" customHeight="1">
      <c r="A363" s="1809"/>
      <c r="B363" s="1827"/>
      <c r="C363" s="1818"/>
      <c r="D363" s="1818"/>
      <c r="E363" s="1352" t="s">
        <v>353</v>
      </c>
      <c r="F363" s="1353">
        <f t="shared" si="36"/>
        <v>500</v>
      </c>
      <c r="G363" s="1353"/>
      <c r="H363" s="1353"/>
      <c r="I363" s="1353">
        <v>500</v>
      </c>
      <c r="J363" s="1354"/>
      <c r="K363" s="416"/>
    </row>
    <row r="364" spans="1:11" s="418" customFormat="1" ht="15" customHeight="1">
      <c r="A364" s="1809"/>
      <c r="B364" s="1827"/>
      <c r="C364" s="1818"/>
      <c r="D364" s="1818"/>
      <c r="E364" s="1352" t="s">
        <v>345</v>
      </c>
      <c r="F364" s="1353">
        <f t="shared" si="36"/>
        <v>9000</v>
      </c>
      <c r="G364" s="1353"/>
      <c r="H364" s="1353"/>
      <c r="I364" s="1353">
        <v>9000</v>
      </c>
      <c r="J364" s="1354"/>
      <c r="K364" s="416"/>
    </row>
    <row r="365" spans="1:11" s="418" customFormat="1" ht="15" customHeight="1">
      <c r="A365" s="1809"/>
      <c r="B365" s="1827"/>
      <c r="C365" s="1818"/>
      <c r="D365" s="1818"/>
      <c r="E365" s="1352" t="s">
        <v>346</v>
      </c>
      <c r="F365" s="1353">
        <f t="shared" si="36"/>
        <v>3000</v>
      </c>
      <c r="G365" s="1353"/>
      <c r="H365" s="1353"/>
      <c r="I365" s="1353">
        <v>3000</v>
      </c>
      <c r="J365" s="1354"/>
      <c r="K365" s="416"/>
    </row>
    <row r="366" spans="1:11" s="418" customFormat="1" ht="15" customHeight="1">
      <c r="A366" s="1809"/>
      <c r="B366" s="1827"/>
      <c r="C366" s="1818"/>
      <c r="D366" s="1818"/>
      <c r="E366" s="1352" t="s">
        <v>380</v>
      </c>
      <c r="F366" s="1353">
        <f t="shared" si="36"/>
        <v>6000</v>
      </c>
      <c r="G366" s="1353"/>
      <c r="H366" s="1353"/>
      <c r="I366" s="1353">
        <v>6000</v>
      </c>
      <c r="J366" s="1354"/>
      <c r="K366" s="416"/>
    </row>
    <row r="367" spans="1:11" s="418" customFormat="1" ht="15" customHeight="1">
      <c r="A367" s="1809"/>
      <c r="B367" s="1827"/>
      <c r="C367" s="1818"/>
      <c r="D367" s="1818"/>
      <c r="E367" s="1352" t="s">
        <v>381</v>
      </c>
      <c r="F367" s="1353">
        <f t="shared" si="36"/>
        <v>2000</v>
      </c>
      <c r="G367" s="1353"/>
      <c r="H367" s="1353"/>
      <c r="I367" s="1353">
        <v>2000</v>
      </c>
      <c r="J367" s="1354"/>
      <c r="K367" s="416"/>
    </row>
    <row r="368" spans="1:11" s="418" customFormat="1" ht="20.100000000000001" customHeight="1" thickBot="1">
      <c r="A368" s="1829"/>
      <c r="B368" s="1830"/>
      <c r="C368" s="1832"/>
      <c r="D368" s="1832"/>
      <c r="E368" s="1355" t="s">
        <v>324</v>
      </c>
      <c r="F368" s="1347">
        <f>SUM(F369:F370)</f>
        <v>0</v>
      </c>
      <c r="G368" s="1347">
        <f>SUM(G369:G370)</f>
        <v>0</v>
      </c>
      <c r="H368" s="1347">
        <f>SUM(H369:H370)</f>
        <v>0</v>
      </c>
      <c r="I368" s="1347">
        <f>SUM(I369:I370)</f>
        <v>0</v>
      </c>
      <c r="J368" s="1348">
        <f>SUM(J369:J370)</f>
        <v>0</v>
      </c>
      <c r="K368" s="416"/>
    </row>
    <row r="369" spans="1:226" s="418" customFormat="1" ht="15" hidden="1" customHeight="1">
      <c r="A369" s="426"/>
      <c r="B369" s="1378"/>
      <c r="C369" s="1369"/>
      <c r="D369" s="1369"/>
      <c r="E369" s="424" t="s">
        <v>382</v>
      </c>
      <c r="F369" s="425">
        <f>SUM(G369:J369)</f>
        <v>0</v>
      </c>
      <c r="G369" s="425"/>
      <c r="H369" s="425"/>
      <c r="I369" s="425"/>
      <c r="J369" s="1403"/>
      <c r="K369" s="416"/>
    </row>
    <row r="370" spans="1:226" s="418" customFormat="1" ht="15" hidden="1" customHeight="1">
      <c r="A370" s="426"/>
      <c r="B370" s="1378"/>
      <c r="C370" s="1369"/>
      <c r="D370" s="1369"/>
      <c r="E370" s="1379">
        <v>6069</v>
      </c>
      <c r="F370" s="1380">
        <f>SUM(G370:J370)</f>
        <v>0</v>
      </c>
      <c r="G370" s="1380"/>
      <c r="H370" s="1380"/>
      <c r="I370" s="1380"/>
      <c r="J370" s="1381"/>
      <c r="K370" s="416"/>
    </row>
    <row r="371" spans="1:226" s="418" customFormat="1" ht="24.95" customHeight="1">
      <c r="A371" s="1782" t="s">
        <v>448</v>
      </c>
      <c r="B371" s="1833" t="s">
        <v>449</v>
      </c>
      <c r="C371" s="1822">
        <v>600</v>
      </c>
      <c r="D371" s="1824" t="s">
        <v>450</v>
      </c>
      <c r="E371" s="1361" t="s">
        <v>322</v>
      </c>
      <c r="F371" s="1362">
        <f>SUM(F372,F381)</f>
        <v>15390424</v>
      </c>
      <c r="G371" s="1362">
        <f>SUM(G372,G381)</f>
        <v>9134154</v>
      </c>
      <c r="H371" s="1362">
        <f>SUM(H372,H381)</f>
        <v>6256270</v>
      </c>
      <c r="I371" s="1362">
        <f>SUM(I372,I381)</f>
        <v>0</v>
      </c>
      <c r="J371" s="1363">
        <f>SUM(J372,J381)</f>
        <v>0</v>
      </c>
      <c r="K371" s="416"/>
    </row>
    <row r="372" spans="1:226" s="418" customFormat="1" ht="21.75" customHeight="1">
      <c r="A372" s="1772"/>
      <c r="B372" s="1774"/>
      <c r="C372" s="1804"/>
      <c r="D372" s="1806"/>
      <c r="E372" s="1346" t="s">
        <v>334</v>
      </c>
      <c r="F372" s="1347">
        <f>SUM(F373,F377)</f>
        <v>0</v>
      </c>
      <c r="G372" s="1347">
        <f>SUM(G373,G377)</f>
        <v>0</v>
      </c>
      <c r="H372" s="1347">
        <f>SUM(H373,H377)</f>
        <v>0</v>
      </c>
      <c r="I372" s="1347">
        <f>SUM(I373,I377)</f>
        <v>0</v>
      </c>
      <c r="J372" s="1348">
        <f>SUM(J373,J377)</f>
        <v>0</v>
      </c>
      <c r="K372" s="416"/>
    </row>
    <row r="373" spans="1:226" s="418" customFormat="1" ht="24.95" hidden="1" customHeight="1">
      <c r="A373" s="1772"/>
      <c r="B373" s="1774"/>
      <c r="C373" s="1804"/>
      <c r="D373" s="1806"/>
      <c r="E373" s="1349" t="s">
        <v>335</v>
      </c>
      <c r="F373" s="1350">
        <f>SUM(F374:F376)</f>
        <v>0</v>
      </c>
      <c r="G373" s="1350">
        <f>SUM(G374:G376)</f>
        <v>0</v>
      </c>
      <c r="H373" s="1350">
        <f>SUM(H374:H376)</f>
        <v>0</v>
      </c>
      <c r="I373" s="1350">
        <f>SUM(I374:I376)</f>
        <v>0</v>
      </c>
      <c r="J373" s="1351">
        <f>SUM(J374:J376)</f>
        <v>0</v>
      </c>
      <c r="K373" s="416"/>
    </row>
    <row r="374" spans="1:226" s="418" customFormat="1" ht="15" hidden="1" customHeight="1">
      <c r="A374" s="1772"/>
      <c r="B374" s="1774"/>
      <c r="C374" s="1804"/>
      <c r="D374" s="1806"/>
      <c r="E374" s="1352"/>
      <c r="F374" s="1353">
        <f>SUM(G374:J374)</f>
        <v>0</v>
      </c>
      <c r="G374" s="1353"/>
      <c r="H374" s="1353"/>
      <c r="I374" s="1353"/>
      <c r="J374" s="1354"/>
      <c r="K374" s="416"/>
    </row>
    <row r="375" spans="1:226" s="418" customFormat="1" ht="15" hidden="1" customHeight="1">
      <c r="A375" s="1772"/>
      <c r="B375" s="1774"/>
      <c r="C375" s="1804"/>
      <c r="D375" s="1806"/>
      <c r="E375" s="1352"/>
      <c r="F375" s="1353">
        <f>SUM(G375:J375)</f>
        <v>0</v>
      </c>
      <c r="G375" s="1353"/>
      <c r="H375" s="1353"/>
      <c r="I375" s="1353"/>
      <c r="J375" s="1354"/>
      <c r="K375" s="416"/>
    </row>
    <row r="376" spans="1:226" s="418" customFormat="1" ht="15" hidden="1" customHeight="1">
      <c r="A376" s="1772"/>
      <c r="B376" s="1774"/>
      <c r="C376" s="1804"/>
      <c r="D376" s="1806"/>
      <c r="E376" s="1352"/>
      <c r="F376" s="1353">
        <f>SUM(G376:J376)</f>
        <v>0</v>
      </c>
      <c r="G376" s="1353"/>
      <c r="H376" s="1353"/>
      <c r="I376" s="1353"/>
      <c r="J376" s="1354"/>
      <c r="K376" s="416"/>
    </row>
    <row r="377" spans="1:226" s="418" customFormat="1" ht="24.95" hidden="1" customHeight="1">
      <c r="A377" s="1772"/>
      <c r="B377" s="1774"/>
      <c r="C377" s="1804"/>
      <c r="D377" s="1806"/>
      <c r="E377" s="1349" t="s">
        <v>340</v>
      </c>
      <c r="F377" s="1350">
        <f>SUM(F378:F380)</f>
        <v>0</v>
      </c>
      <c r="G377" s="1350">
        <f>SUM(G378:G380)</f>
        <v>0</v>
      </c>
      <c r="H377" s="1350">
        <f>SUM(H378:H380)</f>
        <v>0</v>
      </c>
      <c r="I377" s="1350">
        <f>SUM(I378:I380)</f>
        <v>0</v>
      </c>
      <c r="J377" s="1351">
        <f>SUM(J378:J380)</f>
        <v>0</v>
      </c>
      <c r="K377" s="416"/>
      <c r="L377" s="416"/>
      <c r="M377" s="416"/>
      <c r="N377" s="416"/>
      <c r="O377" s="416"/>
      <c r="P377" s="416"/>
      <c r="Q377" s="416"/>
      <c r="R377" s="416"/>
      <c r="S377" s="416"/>
      <c r="T377" s="416"/>
      <c r="U377" s="416"/>
      <c r="V377" s="416"/>
      <c r="W377" s="416"/>
      <c r="X377" s="416"/>
      <c r="Y377" s="416"/>
      <c r="Z377" s="416"/>
      <c r="AA377" s="416"/>
      <c r="AB377" s="416"/>
      <c r="AC377" s="416"/>
      <c r="AD377" s="416"/>
      <c r="AE377" s="416"/>
      <c r="AF377" s="416"/>
      <c r="AG377" s="416"/>
      <c r="AH377" s="416"/>
      <c r="AI377" s="416"/>
      <c r="AJ377" s="416"/>
      <c r="AK377" s="416"/>
      <c r="AL377" s="416"/>
      <c r="AM377" s="416"/>
      <c r="AN377" s="416"/>
      <c r="AO377" s="416"/>
      <c r="AP377" s="416"/>
      <c r="AQ377" s="416"/>
      <c r="AR377" s="416"/>
      <c r="AS377" s="416"/>
      <c r="AT377" s="416"/>
      <c r="AU377" s="416"/>
      <c r="AV377" s="416"/>
      <c r="AW377" s="416"/>
      <c r="AX377" s="416"/>
      <c r="AY377" s="416"/>
      <c r="AZ377" s="416"/>
      <c r="BA377" s="416"/>
      <c r="BB377" s="416"/>
      <c r="BC377" s="416"/>
      <c r="BD377" s="416"/>
      <c r="BE377" s="416"/>
      <c r="BF377" s="416"/>
      <c r="BG377" s="416"/>
      <c r="BH377" s="416"/>
      <c r="BI377" s="416"/>
      <c r="BJ377" s="416"/>
      <c r="BK377" s="416"/>
      <c r="BL377" s="416"/>
      <c r="BM377" s="416"/>
      <c r="BN377" s="416"/>
      <c r="BO377" s="416"/>
      <c r="BP377" s="416"/>
      <c r="BQ377" s="416"/>
      <c r="BR377" s="416"/>
      <c r="BS377" s="416"/>
      <c r="BT377" s="416"/>
      <c r="BU377" s="416"/>
      <c r="BV377" s="416"/>
      <c r="BW377" s="416"/>
      <c r="BX377" s="416"/>
      <c r="BY377" s="416"/>
      <c r="BZ377" s="416"/>
      <c r="CA377" s="416"/>
      <c r="CB377" s="416"/>
      <c r="CC377" s="416"/>
      <c r="CD377" s="416"/>
      <c r="CE377" s="416"/>
      <c r="CF377" s="416"/>
      <c r="CG377" s="416"/>
      <c r="CH377" s="416"/>
      <c r="CI377" s="416"/>
      <c r="CJ377" s="416"/>
      <c r="CK377" s="416"/>
      <c r="CL377" s="416"/>
      <c r="CM377" s="416"/>
      <c r="CN377" s="416"/>
      <c r="CO377" s="416"/>
      <c r="CP377" s="416"/>
      <c r="CQ377" s="416"/>
      <c r="CR377" s="416"/>
      <c r="CS377" s="416"/>
      <c r="CT377" s="416"/>
      <c r="CU377" s="416"/>
      <c r="CV377" s="416"/>
      <c r="CW377" s="416"/>
      <c r="CX377" s="416"/>
      <c r="CY377" s="416"/>
      <c r="CZ377" s="416"/>
      <c r="DA377" s="416"/>
      <c r="DB377" s="416"/>
      <c r="DC377" s="416"/>
      <c r="DD377" s="416"/>
      <c r="DE377" s="416"/>
      <c r="DF377" s="416"/>
      <c r="DG377" s="416"/>
      <c r="DH377" s="416"/>
      <c r="DI377" s="416"/>
      <c r="DJ377" s="416"/>
      <c r="DK377" s="416"/>
      <c r="DL377" s="416"/>
      <c r="DM377" s="416"/>
      <c r="DN377" s="416"/>
      <c r="DO377" s="416"/>
      <c r="DP377" s="416"/>
      <c r="DQ377" s="416"/>
      <c r="DR377" s="416"/>
      <c r="DS377" s="416"/>
      <c r="DT377" s="416"/>
      <c r="DU377" s="416"/>
      <c r="DV377" s="416"/>
      <c r="DW377" s="416"/>
      <c r="DX377" s="416"/>
      <c r="DY377" s="416"/>
      <c r="DZ377" s="416"/>
      <c r="EA377" s="416"/>
      <c r="EB377" s="416"/>
      <c r="EC377" s="416"/>
      <c r="ED377" s="416"/>
      <c r="EE377" s="416"/>
      <c r="EF377" s="416"/>
      <c r="EG377" s="416"/>
      <c r="EH377" s="416"/>
      <c r="EI377" s="416"/>
      <c r="EJ377" s="416"/>
      <c r="EK377" s="416"/>
      <c r="EL377" s="416"/>
      <c r="EM377" s="416"/>
      <c r="EN377" s="416"/>
      <c r="EO377" s="416"/>
      <c r="EP377" s="416"/>
      <c r="EQ377" s="416"/>
      <c r="ER377" s="416"/>
      <c r="ES377" s="416"/>
      <c r="ET377" s="416"/>
      <c r="EU377" s="416"/>
      <c r="EV377" s="416"/>
      <c r="EW377" s="416"/>
      <c r="EX377" s="416"/>
      <c r="EY377" s="416"/>
      <c r="EZ377" s="416"/>
      <c r="FA377" s="416"/>
      <c r="FB377" s="416"/>
      <c r="FC377" s="416"/>
      <c r="FD377" s="416"/>
      <c r="FE377" s="416"/>
      <c r="FF377" s="416"/>
      <c r="FG377" s="416"/>
      <c r="FH377" s="416"/>
      <c r="FI377" s="416"/>
      <c r="FJ377" s="416"/>
      <c r="FK377" s="416"/>
      <c r="FL377" s="416"/>
      <c r="FM377" s="416"/>
      <c r="FN377" s="416"/>
      <c r="FO377" s="416"/>
      <c r="FP377" s="416"/>
      <c r="FQ377" s="416"/>
      <c r="FR377" s="416"/>
      <c r="FS377" s="416"/>
      <c r="FT377" s="416"/>
      <c r="FU377" s="416"/>
      <c r="FV377" s="416"/>
      <c r="FW377" s="416"/>
      <c r="FX377" s="416"/>
      <c r="FY377" s="416"/>
      <c r="FZ377" s="416"/>
      <c r="GA377" s="416"/>
      <c r="GB377" s="416"/>
      <c r="GC377" s="416"/>
      <c r="GD377" s="416"/>
      <c r="GE377" s="416"/>
      <c r="GF377" s="416"/>
      <c r="GG377" s="416"/>
      <c r="GH377" s="416"/>
      <c r="GI377" s="416"/>
      <c r="GJ377" s="416"/>
      <c r="GK377" s="416"/>
      <c r="GL377" s="416"/>
      <c r="GM377" s="416"/>
      <c r="GN377" s="416"/>
      <c r="GO377" s="416"/>
      <c r="GP377" s="416"/>
      <c r="GQ377" s="416"/>
      <c r="GR377" s="416"/>
      <c r="GS377" s="416"/>
      <c r="GT377" s="416"/>
      <c r="GU377" s="416"/>
      <c r="GV377" s="416"/>
      <c r="GW377" s="416"/>
      <c r="GX377" s="416"/>
      <c r="GY377" s="416"/>
      <c r="GZ377" s="416"/>
      <c r="HA377" s="416"/>
      <c r="HB377" s="416"/>
      <c r="HC377" s="416"/>
      <c r="HD377" s="416"/>
      <c r="HE377" s="416"/>
      <c r="HF377" s="416"/>
      <c r="HG377" s="416"/>
      <c r="HH377" s="416"/>
      <c r="HI377" s="416"/>
      <c r="HJ377" s="416"/>
      <c r="HK377" s="416"/>
      <c r="HL377" s="416"/>
      <c r="HM377" s="416"/>
      <c r="HN377" s="416"/>
      <c r="HO377" s="416"/>
      <c r="HP377" s="416"/>
      <c r="HQ377" s="416"/>
      <c r="HR377" s="416"/>
    </row>
    <row r="378" spans="1:226" s="418" customFormat="1" ht="15" hidden="1" customHeight="1">
      <c r="A378" s="1772"/>
      <c r="B378" s="1774"/>
      <c r="C378" s="1804"/>
      <c r="D378" s="1806"/>
      <c r="E378" s="1352"/>
      <c r="F378" s="1353">
        <f>SUM(G378:J378)</f>
        <v>0</v>
      </c>
      <c r="G378" s="1353"/>
      <c r="H378" s="1353"/>
      <c r="I378" s="1353"/>
      <c r="J378" s="1354"/>
      <c r="K378" s="416"/>
    </row>
    <row r="379" spans="1:226" s="418" customFormat="1" ht="15" hidden="1" customHeight="1">
      <c r="A379" s="1772"/>
      <c r="B379" s="1774"/>
      <c r="C379" s="1804"/>
      <c r="D379" s="1806"/>
      <c r="E379" s="1352"/>
      <c r="F379" s="1353">
        <f t="shared" ref="F379:F380" si="37">SUM(G379:J379)</f>
        <v>0</v>
      </c>
      <c r="G379" s="1353"/>
      <c r="H379" s="1353"/>
      <c r="I379" s="1353"/>
      <c r="J379" s="1354"/>
      <c r="K379" s="416"/>
    </row>
    <row r="380" spans="1:226" s="418" customFormat="1" ht="15" hidden="1" customHeight="1">
      <c r="A380" s="1772"/>
      <c r="B380" s="1774"/>
      <c r="C380" s="1804"/>
      <c r="D380" s="1806"/>
      <c r="E380" s="1352"/>
      <c r="F380" s="1353">
        <f t="shared" si="37"/>
        <v>0</v>
      </c>
      <c r="G380" s="1353"/>
      <c r="H380" s="1353"/>
      <c r="I380" s="1353"/>
      <c r="J380" s="1354"/>
      <c r="K380" s="416"/>
    </row>
    <row r="381" spans="1:226" s="418" customFormat="1" ht="16.5" customHeight="1">
      <c r="A381" s="1772"/>
      <c r="B381" s="1774"/>
      <c r="C381" s="1804"/>
      <c r="D381" s="1806"/>
      <c r="E381" s="1355" t="s">
        <v>324</v>
      </c>
      <c r="F381" s="1347">
        <f>SUM(F382:F387)</f>
        <v>15390424</v>
      </c>
      <c r="G381" s="1347">
        <f>SUM(G382:G387)</f>
        <v>9134154</v>
      </c>
      <c r="H381" s="1347">
        <f>SUM(H382:H387)</f>
        <v>6256270</v>
      </c>
      <c r="I381" s="1347">
        <f>SUM(I382:I387)</f>
        <v>0</v>
      </c>
      <c r="J381" s="1348">
        <f>SUM(J382:J387)</f>
        <v>0</v>
      </c>
      <c r="K381" s="416"/>
    </row>
    <row r="382" spans="1:226" s="418" customFormat="1" ht="15" customHeight="1">
      <c r="A382" s="1772"/>
      <c r="B382" s="1774"/>
      <c r="C382" s="1804"/>
      <c r="D382" s="1806"/>
      <c r="E382" s="1352" t="s">
        <v>405</v>
      </c>
      <c r="F382" s="1353">
        <f>SUM(G382:J382)</f>
        <v>2485201</v>
      </c>
      <c r="G382" s="1353">
        <v>2485201</v>
      </c>
      <c r="H382" s="1353"/>
      <c r="I382" s="1353"/>
      <c r="J382" s="1354"/>
      <c r="K382" s="416"/>
    </row>
    <row r="383" spans="1:226" s="418" customFormat="1" ht="15" customHeight="1">
      <c r="A383" s="1772"/>
      <c r="B383" s="1774"/>
      <c r="C383" s="1804"/>
      <c r="D383" s="1806"/>
      <c r="E383" s="1352" t="s">
        <v>406</v>
      </c>
      <c r="F383" s="1353">
        <f t="shared" ref="F383:F385" si="38">SUM(G383:J383)</f>
        <v>5402610</v>
      </c>
      <c r="G383" s="1353"/>
      <c r="H383" s="1353">
        <v>5402610</v>
      </c>
      <c r="I383" s="1353"/>
      <c r="J383" s="1354"/>
      <c r="K383" s="416"/>
    </row>
    <row r="384" spans="1:226" s="418" customFormat="1" ht="15" customHeight="1">
      <c r="A384" s="1772"/>
      <c r="B384" s="1774"/>
      <c r="C384" s="1804"/>
      <c r="D384" s="1806"/>
      <c r="E384" s="1352" t="s">
        <v>451</v>
      </c>
      <c r="F384" s="1353">
        <f t="shared" si="38"/>
        <v>5402610</v>
      </c>
      <c r="G384" s="1353">
        <v>5402610</v>
      </c>
      <c r="H384" s="1353"/>
      <c r="I384" s="1353"/>
      <c r="J384" s="1354"/>
      <c r="K384" s="416"/>
    </row>
    <row r="385" spans="1:226" s="418" customFormat="1" ht="15" customHeight="1">
      <c r="A385" s="1772"/>
      <c r="B385" s="1774"/>
      <c r="C385" s="1804"/>
      <c r="D385" s="1806"/>
      <c r="E385" s="1352" t="s">
        <v>401</v>
      </c>
      <c r="F385" s="1353">
        <f t="shared" si="38"/>
        <v>392683</v>
      </c>
      <c r="G385" s="1353">
        <v>392683</v>
      </c>
      <c r="H385" s="1353"/>
      <c r="I385" s="1353"/>
      <c r="J385" s="1354"/>
      <c r="K385" s="416"/>
    </row>
    <row r="386" spans="1:226" s="418" customFormat="1" ht="15" customHeight="1">
      <c r="A386" s="1772"/>
      <c r="B386" s="1774"/>
      <c r="C386" s="1804"/>
      <c r="D386" s="1806"/>
      <c r="E386" s="1352" t="s">
        <v>397</v>
      </c>
      <c r="F386" s="1353">
        <f>SUM(G386:J386)</f>
        <v>853660</v>
      </c>
      <c r="G386" s="1353"/>
      <c r="H386" s="1353">
        <v>853660</v>
      </c>
      <c r="I386" s="1353"/>
      <c r="J386" s="1354"/>
      <c r="K386" s="416"/>
    </row>
    <row r="387" spans="1:226" s="418" customFormat="1" ht="15" customHeight="1" thickBot="1">
      <c r="A387" s="1783"/>
      <c r="B387" s="1821"/>
      <c r="C387" s="1823"/>
      <c r="D387" s="1825"/>
      <c r="E387" s="1356">
        <v>6069</v>
      </c>
      <c r="F387" s="1357">
        <f>SUM(G387:J387)</f>
        <v>853660</v>
      </c>
      <c r="G387" s="1357">
        <v>853660</v>
      </c>
      <c r="H387" s="1357"/>
      <c r="I387" s="1357"/>
      <c r="J387" s="1373"/>
      <c r="K387" s="416"/>
    </row>
    <row r="388" spans="1:226" s="418" customFormat="1" ht="24.95" customHeight="1">
      <c r="A388" s="1808" t="s">
        <v>452</v>
      </c>
      <c r="B388" s="1826" t="s">
        <v>453</v>
      </c>
      <c r="C388" s="1817" t="s">
        <v>454</v>
      </c>
      <c r="D388" s="1817" t="s">
        <v>409</v>
      </c>
      <c r="E388" s="1361" t="s">
        <v>322</v>
      </c>
      <c r="F388" s="1362">
        <f>SUM(F389,F412)</f>
        <v>177103</v>
      </c>
      <c r="G388" s="1362">
        <f>SUM(G389,G412)</f>
        <v>177103</v>
      </c>
      <c r="H388" s="1362">
        <f>SUM(H389,H412)</f>
        <v>0</v>
      </c>
      <c r="I388" s="1362">
        <f>SUM(I389,I412)</f>
        <v>0</v>
      </c>
      <c r="J388" s="1363">
        <f>SUM(J389,J412)</f>
        <v>0</v>
      </c>
      <c r="K388" s="416"/>
      <c r="L388" s="416"/>
      <c r="M388" s="416"/>
      <c r="N388" s="416"/>
      <c r="O388" s="416"/>
      <c r="P388" s="416"/>
      <c r="Q388" s="416"/>
      <c r="R388" s="416"/>
      <c r="S388" s="416"/>
      <c r="T388" s="416"/>
      <c r="U388" s="416"/>
      <c r="V388" s="416"/>
      <c r="W388" s="416"/>
      <c r="X388" s="416"/>
      <c r="Y388" s="416"/>
      <c r="Z388" s="416"/>
      <c r="AA388" s="416"/>
      <c r="AB388" s="416"/>
      <c r="AC388" s="416"/>
      <c r="AD388" s="416"/>
      <c r="AE388" s="416"/>
      <c r="AF388" s="416"/>
      <c r="AG388" s="416"/>
      <c r="AH388" s="416"/>
      <c r="AI388" s="416"/>
      <c r="AJ388" s="416"/>
      <c r="AK388" s="416"/>
      <c r="AL388" s="416"/>
      <c r="AM388" s="416"/>
      <c r="AN388" s="416"/>
      <c r="AO388" s="416"/>
      <c r="AP388" s="416"/>
      <c r="AQ388" s="416"/>
      <c r="AR388" s="416"/>
      <c r="AS388" s="416"/>
      <c r="AT388" s="416"/>
      <c r="AU388" s="416"/>
      <c r="AV388" s="416"/>
      <c r="AW388" s="416"/>
      <c r="AX388" s="416"/>
      <c r="AY388" s="416"/>
      <c r="AZ388" s="416"/>
      <c r="BA388" s="416"/>
      <c r="BB388" s="416"/>
      <c r="BC388" s="416"/>
      <c r="BD388" s="416"/>
      <c r="BE388" s="416"/>
      <c r="BF388" s="416"/>
      <c r="BG388" s="416"/>
      <c r="BH388" s="416"/>
      <c r="BI388" s="416"/>
      <c r="BJ388" s="416"/>
      <c r="BK388" s="416"/>
      <c r="BL388" s="416"/>
      <c r="BM388" s="416"/>
      <c r="BN388" s="416"/>
      <c r="BO388" s="416"/>
      <c r="BP388" s="416"/>
      <c r="BQ388" s="416"/>
      <c r="BR388" s="416"/>
      <c r="BS388" s="416"/>
      <c r="BT388" s="416"/>
      <c r="BU388" s="416"/>
      <c r="BV388" s="416"/>
      <c r="BW388" s="416"/>
      <c r="BX388" s="416"/>
      <c r="BY388" s="416"/>
      <c r="BZ388" s="416"/>
      <c r="CA388" s="416"/>
      <c r="CB388" s="416"/>
      <c r="CC388" s="416"/>
      <c r="CD388" s="416"/>
      <c r="CE388" s="416"/>
      <c r="CF388" s="416"/>
      <c r="CG388" s="416"/>
      <c r="CH388" s="416"/>
      <c r="CI388" s="416"/>
      <c r="CJ388" s="416"/>
      <c r="CK388" s="416"/>
      <c r="CL388" s="416"/>
      <c r="CM388" s="416"/>
      <c r="CN388" s="416"/>
      <c r="CO388" s="416"/>
      <c r="CP388" s="416"/>
      <c r="CQ388" s="416"/>
      <c r="CR388" s="416"/>
      <c r="CS388" s="416"/>
      <c r="CT388" s="416"/>
      <c r="CU388" s="416"/>
      <c r="CV388" s="416"/>
      <c r="CW388" s="416"/>
      <c r="CX388" s="416"/>
      <c r="CY388" s="416"/>
      <c r="CZ388" s="416"/>
      <c r="DA388" s="416"/>
      <c r="DB388" s="416"/>
      <c r="DC388" s="416"/>
      <c r="DD388" s="416"/>
      <c r="DE388" s="416"/>
      <c r="DF388" s="416"/>
      <c r="DG388" s="416"/>
      <c r="DH388" s="416"/>
      <c r="DI388" s="416"/>
      <c r="DJ388" s="416"/>
      <c r="DK388" s="416"/>
      <c r="DL388" s="416"/>
      <c r="DM388" s="416"/>
      <c r="DN388" s="416"/>
      <c r="DO388" s="416"/>
      <c r="DP388" s="416"/>
      <c r="DQ388" s="416"/>
      <c r="DR388" s="416"/>
      <c r="DS388" s="416"/>
      <c r="DT388" s="416"/>
      <c r="DU388" s="416"/>
      <c r="DV388" s="416"/>
      <c r="DW388" s="416"/>
      <c r="DX388" s="416"/>
      <c r="DY388" s="416"/>
      <c r="DZ388" s="416"/>
      <c r="EA388" s="416"/>
      <c r="EB388" s="416"/>
      <c r="EC388" s="416"/>
      <c r="ED388" s="416"/>
      <c r="EE388" s="416"/>
      <c r="EF388" s="416"/>
      <c r="EG388" s="416"/>
      <c r="EH388" s="416"/>
      <c r="EI388" s="416"/>
      <c r="EJ388" s="416"/>
      <c r="EK388" s="416"/>
      <c r="EL388" s="416"/>
      <c r="EM388" s="416"/>
      <c r="EN388" s="416"/>
      <c r="EO388" s="416"/>
      <c r="EP388" s="416"/>
      <c r="EQ388" s="416"/>
      <c r="ER388" s="416"/>
      <c r="ES388" s="416"/>
      <c r="ET388" s="416"/>
      <c r="EU388" s="416"/>
      <c r="EV388" s="416"/>
      <c r="EW388" s="416"/>
      <c r="EX388" s="416"/>
      <c r="EY388" s="416"/>
      <c r="EZ388" s="416"/>
      <c r="FA388" s="416"/>
      <c r="FB388" s="416"/>
      <c r="FC388" s="416"/>
      <c r="FD388" s="416"/>
      <c r="FE388" s="416"/>
      <c r="FF388" s="416"/>
      <c r="FG388" s="416"/>
      <c r="FH388" s="416"/>
      <c r="FI388" s="416"/>
      <c r="FJ388" s="416"/>
      <c r="FK388" s="416"/>
      <c r="FL388" s="416"/>
      <c r="FM388" s="416"/>
      <c r="FN388" s="416"/>
      <c r="FO388" s="416"/>
      <c r="FP388" s="416"/>
      <c r="FQ388" s="416"/>
      <c r="FR388" s="416"/>
      <c r="FS388" s="416"/>
      <c r="FT388" s="416"/>
      <c r="FU388" s="416"/>
      <c r="FV388" s="416"/>
      <c r="FW388" s="416"/>
      <c r="FX388" s="416"/>
      <c r="FY388" s="416"/>
      <c r="FZ388" s="416"/>
      <c r="GA388" s="416"/>
      <c r="GB388" s="416"/>
      <c r="GC388" s="416"/>
      <c r="GD388" s="416"/>
      <c r="GE388" s="416"/>
      <c r="GF388" s="416"/>
      <c r="GG388" s="416"/>
      <c r="GH388" s="416"/>
      <c r="GI388" s="416"/>
      <c r="GJ388" s="416"/>
      <c r="GK388" s="416"/>
      <c r="GL388" s="416"/>
      <c r="GM388" s="416"/>
      <c r="GN388" s="416"/>
      <c r="GO388" s="416"/>
      <c r="GP388" s="416"/>
      <c r="GQ388" s="416"/>
      <c r="GR388" s="416"/>
      <c r="GS388" s="416"/>
      <c r="GT388" s="416"/>
      <c r="GU388" s="416"/>
      <c r="GV388" s="416"/>
      <c r="GW388" s="416"/>
      <c r="GX388" s="416"/>
      <c r="GY388" s="416"/>
      <c r="GZ388" s="416"/>
      <c r="HA388" s="416"/>
      <c r="HB388" s="416"/>
      <c r="HC388" s="416"/>
      <c r="HD388" s="416"/>
      <c r="HE388" s="416"/>
      <c r="HF388" s="416"/>
      <c r="HG388" s="416"/>
      <c r="HH388" s="416"/>
      <c r="HI388" s="416"/>
      <c r="HJ388" s="416"/>
      <c r="HK388" s="416"/>
      <c r="HL388" s="416"/>
      <c r="HM388" s="416"/>
      <c r="HN388" s="416"/>
      <c r="HO388" s="416"/>
      <c r="HP388" s="416"/>
      <c r="HQ388" s="416"/>
      <c r="HR388" s="416"/>
    </row>
    <row r="389" spans="1:226" s="418" customFormat="1" ht="21">
      <c r="A389" s="1809"/>
      <c r="B389" s="1827"/>
      <c r="C389" s="1818"/>
      <c r="D389" s="1818"/>
      <c r="E389" s="1346" t="s">
        <v>334</v>
      </c>
      <c r="F389" s="1347">
        <f>SUM(F390,F401)</f>
        <v>177103</v>
      </c>
      <c r="G389" s="1347">
        <f>SUM(G390,G401)</f>
        <v>177103</v>
      </c>
      <c r="H389" s="1347">
        <f>SUM(H390,H401)</f>
        <v>0</v>
      </c>
      <c r="I389" s="1347">
        <f>SUM(I390,I401)</f>
        <v>0</v>
      </c>
      <c r="J389" s="1348">
        <f>SUM(J390,J401)</f>
        <v>0</v>
      </c>
      <c r="K389" s="416"/>
    </row>
    <row r="390" spans="1:226" s="418" customFormat="1" ht="24.95" customHeight="1">
      <c r="A390" s="1809"/>
      <c r="B390" s="1827"/>
      <c r="C390" s="1818"/>
      <c r="D390" s="1818"/>
      <c r="E390" s="1349" t="s">
        <v>335</v>
      </c>
      <c r="F390" s="1350">
        <f>SUM(F391:F400)</f>
        <v>114870</v>
      </c>
      <c r="G390" s="1350">
        <f>SUM(G391:G400)</f>
        <v>114870</v>
      </c>
      <c r="H390" s="1350">
        <f>SUM(H391:H400)</f>
        <v>0</v>
      </c>
      <c r="I390" s="1350">
        <f>SUM(I391:I400)</f>
        <v>0</v>
      </c>
      <c r="J390" s="1351">
        <f>SUM(J391:J400)</f>
        <v>0</v>
      </c>
      <c r="K390" s="416"/>
    </row>
    <row r="391" spans="1:226" s="418" customFormat="1" ht="15" customHeight="1">
      <c r="A391" s="1809"/>
      <c r="B391" s="1827"/>
      <c r="C391" s="1818"/>
      <c r="D391" s="1818"/>
      <c r="E391" s="1352" t="s">
        <v>362</v>
      </c>
      <c r="F391" s="1353">
        <f t="shared" ref="F391:F400" si="39">SUM(G391:J391)</f>
        <v>66620</v>
      </c>
      <c r="G391" s="1353">
        <v>66620</v>
      </c>
      <c r="H391" s="1353"/>
      <c r="I391" s="1353"/>
      <c r="J391" s="1354"/>
      <c r="K391" s="416"/>
    </row>
    <row r="392" spans="1:226" s="418" customFormat="1" ht="15" customHeight="1">
      <c r="A392" s="1809"/>
      <c r="B392" s="1827"/>
      <c r="C392" s="1818"/>
      <c r="D392" s="1818"/>
      <c r="E392" s="1352" t="s">
        <v>363</v>
      </c>
      <c r="F392" s="1353">
        <f t="shared" si="39"/>
        <v>11757</v>
      </c>
      <c r="G392" s="1353">
        <v>11757</v>
      </c>
      <c r="H392" s="1353"/>
      <c r="I392" s="1353"/>
      <c r="J392" s="1354"/>
      <c r="K392" s="416"/>
    </row>
    <row r="393" spans="1:226" s="418" customFormat="1" ht="15" customHeight="1">
      <c r="A393" s="1809"/>
      <c r="B393" s="1827"/>
      <c r="C393" s="1818"/>
      <c r="D393" s="1818"/>
      <c r="E393" s="1352" t="s">
        <v>364</v>
      </c>
      <c r="F393" s="1353">
        <f t="shared" si="39"/>
        <v>10428</v>
      </c>
      <c r="G393" s="1353">
        <v>10428</v>
      </c>
      <c r="H393" s="1353"/>
      <c r="I393" s="1353"/>
      <c r="J393" s="1354"/>
      <c r="K393" s="416"/>
    </row>
    <row r="394" spans="1:226" s="418" customFormat="1" ht="15" customHeight="1">
      <c r="A394" s="1809"/>
      <c r="B394" s="1827"/>
      <c r="C394" s="1818"/>
      <c r="D394" s="1818"/>
      <c r="E394" s="1352" t="s">
        <v>365</v>
      </c>
      <c r="F394" s="1353">
        <f t="shared" si="39"/>
        <v>1840</v>
      </c>
      <c r="G394" s="1353">
        <v>1840</v>
      </c>
      <c r="H394" s="1353"/>
      <c r="I394" s="1353"/>
      <c r="J394" s="1354"/>
      <c r="K394" s="416"/>
    </row>
    <row r="395" spans="1:226" s="418" customFormat="1" ht="15" customHeight="1">
      <c r="A395" s="1809"/>
      <c r="B395" s="1827"/>
      <c r="C395" s="1818"/>
      <c r="D395" s="1818"/>
      <c r="E395" s="1352" t="s">
        <v>336</v>
      </c>
      <c r="F395" s="1353">
        <f t="shared" si="39"/>
        <v>14049</v>
      </c>
      <c r="G395" s="1353">
        <v>14049</v>
      </c>
      <c r="H395" s="1353"/>
      <c r="I395" s="1353"/>
      <c r="J395" s="1354"/>
      <c r="K395" s="416"/>
    </row>
    <row r="396" spans="1:226" s="418" customFormat="1" ht="15" customHeight="1">
      <c r="A396" s="1809"/>
      <c r="B396" s="1827"/>
      <c r="C396" s="1818"/>
      <c r="D396" s="1818"/>
      <c r="E396" s="1352" t="s">
        <v>337</v>
      </c>
      <c r="F396" s="1353">
        <f t="shared" si="39"/>
        <v>2480</v>
      </c>
      <c r="G396" s="1353">
        <v>2480</v>
      </c>
      <c r="H396" s="1353"/>
      <c r="I396" s="1353"/>
      <c r="J396" s="1354"/>
      <c r="K396" s="416"/>
    </row>
    <row r="397" spans="1:226" s="418" customFormat="1" ht="15" customHeight="1">
      <c r="A397" s="1809"/>
      <c r="B397" s="1827"/>
      <c r="C397" s="1818"/>
      <c r="D397" s="1818"/>
      <c r="E397" s="1352" t="s">
        <v>366</v>
      </c>
      <c r="F397" s="1353">
        <f t="shared" si="39"/>
        <v>2292</v>
      </c>
      <c r="G397" s="1353">
        <v>2292</v>
      </c>
      <c r="H397" s="1353"/>
      <c r="I397" s="1353"/>
      <c r="J397" s="1354"/>
      <c r="K397" s="416"/>
    </row>
    <row r="398" spans="1:226" s="418" customFormat="1" ht="15" customHeight="1">
      <c r="A398" s="1809"/>
      <c r="B398" s="1827"/>
      <c r="C398" s="1818"/>
      <c r="D398" s="1818"/>
      <c r="E398" s="1352" t="s">
        <v>367</v>
      </c>
      <c r="F398" s="1353">
        <f t="shared" si="39"/>
        <v>404</v>
      </c>
      <c r="G398" s="1353">
        <v>404</v>
      </c>
      <c r="H398" s="1353"/>
      <c r="I398" s="1353"/>
      <c r="J398" s="1354"/>
      <c r="K398" s="416"/>
    </row>
    <row r="399" spans="1:226" s="418" customFormat="1" ht="15" customHeight="1">
      <c r="A399" s="1809"/>
      <c r="B399" s="1827"/>
      <c r="C399" s="1818"/>
      <c r="D399" s="1818"/>
      <c r="E399" s="1352" t="s">
        <v>338</v>
      </c>
      <c r="F399" s="1353">
        <f t="shared" si="39"/>
        <v>4250</v>
      </c>
      <c r="G399" s="1353">
        <v>4250</v>
      </c>
      <c r="H399" s="1353"/>
      <c r="I399" s="1353"/>
      <c r="J399" s="1354"/>
      <c r="K399" s="416"/>
    </row>
    <row r="400" spans="1:226" s="418" customFormat="1" ht="15" customHeight="1">
      <c r="A400" s="1809"/>
      <c r="B400" s="1827"/>
      <c r="C400" s="1818"/>
      <c r="D400" s="1818"/>
      <c r="E400" s="1352" t="s">
        <v>339</v>
      </c>
      <c r="F400" s="1353">
        <f t="shared" si="39"/>
        <v>750</v>
      </c>
      <c r="G400" s="1353">
        <v>750</v>
      </c>
      <c r="H400" s="1353"/>
      <c r="I400" s="1353"/>
      <c r="J400" s="1354"/>
      <c r="K400" s="416"/>
    </row>
    <row r="401" spans="1:226" s="418" customFormat="1" ht="24.95" customHeight="1">
      <c r="A401" s="1809"/>
      <c r="B401" s="1827"/>
      <c r="C401" s="1818"/>
      <c r="D401" s="1818"/>
      <c r="E401" s="1349" t="s">
        <v>340</v>
      </c>
      <c r="F401" s="1350">
        <f>SUM(F402:F411)</f>
        <v>62233</v>
      </c>
      <c r="G401" s="1350">
        <f>SUM(G402:G411)</f>
        <v>62233</v>
      </c>
      <c r="H401" s="1350">
        <f>SUM(H402:H411)</f>
        <v>0</v>
      </c>
      <c r="I401" s="1350">
        <f>SUM(I402:I411)</f>
        <v>0</v>
      </c>
      <c r="J401" s="1351">
        <f>SUM(J402:J411)</f>
        <v>0</v>
      </c>
      <c r="K401" s="416"/>
    </row>
    <row r="402" spans="1:226" s="418" customFormat="1" ht="15" customHeight="1">
      <c r="A402" s="1809"/>
      <c r="B402" s="1827"/>
      <c r="C402" s="1818"/>
      <c r="D402" s="1818"/>
      <c r="E402" s="1352" t="s">
        <v>341</v>
      </c>
      <c r="F402" s="1353">
        <f t="shared" ref="F402:F411" si="40">SUM(G402:J402)</f>
        <v>10398</v>
      </c>
      <c r="G402" s="1353">
        <v>10398</v>
      </c>
      <c r="H402" s="1353"/>
      <c r="I402" s="1353"/>
      <c r="J402" s="1354"/>
      <c r="K402" s="416"/>
    </row>
    <row r="403" spans="1:226" s="418" customFormat="1" ht="15" customHeight="1">
      <c r="A403" s="1809"/>
      <c r="B403" s="1827"/>
      <c r="C403" s="1818"/>
      <c r="D403" s="1818"/>
      <c r="E403" s="1352" t="s">
        <v>342</v>
      </c>
      <c r="F403" s="1353">
        <f t="shared" si="40"/>
        <v>1835</v>
      </c>
      <c r="G403" s="1353">
        <v>1835</v>
      </c>
      <c r="H403" s="1353"/>
      <c r="I403" s="1353"/>
      <c r="J403" s="1354"/>
      <c r="K403" s="416"/>
    </row>
    <row r="404" spans="1:226" s="418" customFormat="1" ht="15" customHeight="1">
      <c r="A404" s="1809"/>
      <c r="B404" s="1827"/>
      <c r="C404" s="1818"/>
      <c r="D404" s="1818"/>
      <c r="E404" s="1352" t="s">
        <v>343</v>
      </c>
      <c r="F404" s="1353">
        <f t="shared" si="40"/>
        <v>12750</v>
      </c>
      <c r="G404" s="1353">
        <v>12750</v>
      </c>
      <c r="H404" s="1353"/>
      <c r="I404" s="1353"/>
      <c r="J404" s="1354"/>
      <c r="K404" s="416"/>
    </row>
    <row r="405" spans="1:226" s="418" customFormat="1" ht="15" customHeight="1">
      <c r="A405" s="1809"/>
      <c r="B405" s="1827"/>
      <c r="C405" s="1818"/>
      <c r="D405" s="1818"/>
      <c r="E405" s="1352" t="s">
        <v>344</v>
      </c>
      <c r="F405" s="1353">
        <f t="shared" si="40"/>
        <v>2250</v>
      </c>
      <c r="G405" s="1353">
        <v>2250</v>
      </c>
      <c r="H405" s="1353"/>
      <c r="I405" s="1353"/>
      <c r="J405" s="1354"/>
      <c r="K405" s="416"/>
    </row>
    <row r="406" spans="1:226" s="418" customFormat="1" ht="15" customHeight="1">
      <c r="A406" s="1809"/>
      <c r="B406" s="1827"/>
      <c r="C406" s="1818"/>
      <c r="D406" s="1818"/>
      <c r="E406" s="1352" t="s">
        <v>358</v>
      </c>
      <c r="F406" s="1353">
        <f t="shared" si="40"/>
        <v>4250</v>
      </c>
      <c r="G406" s="1353">
        <v>4250</v>
      </c>
      <c r="H406" s="1353"/>
      <c r="I406" s="1353"/>
      <c r="J406" s="1354"/>
      <c r="K406" s="416"/>
    </row>
    <row r="407" spans="1:226" s="418" customFormat="1" ht="15" customHeight="1">
      <c r="A407" s="1809"/>
      <c r="B407" s="1827"/>
      <c r="C407" s="1818"/>
      <c r="D407" s="1818"/>
      <c r="E407" s="1352" t="s">
        <v>359</v>
      </c>
      <c r="F407" s="1353">
        <f t="shared" si="40"/>
        <v>750</v>
      </c>
      <c r="G407" s="1353">
        <v>750</v>
      </c>
      <c r="H407" s="1353"/>
      <c r="I407" s="1353"/>
      <c r="J407" s="1354"/>
      <c r="K407" s="416"/>
    </row>
    <row r="408" spans="1:226" s="418" customFormat="1" ht="15" customHeight="1">
      <c r="A408" s="1809"/>
      <c r="B408" s="1827"/>
      <c r="C408" s="1818"/>
      <c r="D408" s="1818"/>
      <c r="E408" s="1352" t="s">
        <v>352</v>
      </c>
      <c r="F408" s="1353">
        <f t="shared" si="40"/>
        <v>4250</v>
      </c>
      <c r="G408" s="1353">
        <v>4250</v>
      </c>
      <c r="H408" s="1353"/>
      <c r="I408" s="1353"/>
      <c r="J408" s="1354"/>
      <c r="K408" s="416"/>
    </row>
    <row r="409" spans="1:226" s="418" customFormat="1" ht="15" customHeight="1">
      <c r="A409" s="1809"/>
      <c r="B409" s="1827"/>
      <c r="C409" s="1818"/>
      <c r="D409" s="1818"/>
      <c r="E409" s="1352" t="s">
        <v>353</v>
      </c>
      <c r="F409" s="1353">
        <f t="shared" si="40"/>
        <v>750</v>
      </c>
      <c r="G409" s="1353">
        <v>750</v>
      </c>
      <c r="H409" s="1353"/>
      <c r="I409" s="1353"/>
      <c r="J409" s="1354"/>
      <c r="K409" s="416"/>
    </row>
    <row r="410" spans="1:226" s="418" customFormat="1" ht="15" customHeight="1">
      <c r="A410" s="1809"/>
      <c r="B410" s="1827"/>
      <c r="C410" s="1818"/>
      <c r="D410" s="1818"/>
      <c r="E410" s="1352" t="s">
        <v>376</v>
      </c>
      <c r="F410" s="1353">
        <f t="shared" si="40"/>
        <v>21250</v>
      </c>
      <c r="G410" s="1353">
        <v>21250</v>
      </c>
      <c r="H410" s="1353"/>
      <c r="I410" s="1353"/>
      <c r="J410" s="1354"/>
      <c r="K410" s="416"/>
    </row>
    <row r="411" spans="1:226" s="418" customFormat="1" ht="15" customHeight="1">
      <c r="A411" s="1809"/>
      <c r="B411" s="1827"/>
      <c r="C411" s="1818"/>
      <c r="D411" s="1818"/>
      <c r="E411" s="1352" t="s">
        <v>377</v>
      </c>
      <c r="F411" s="1353">
        <f t="shared" si="40"/>
        <v>3750</v>
      </c>
      <c r="G411" s="1353">
        <v>3750</v>
      </c>
      <c r="H411" s="1353"/>
      <c r="I411" s="1353"/>
      <c r="J411" s="1354"/>
      <c r="K411" s="416"/>
    </row>
    <row r="412" spans="1:226" s="418" customFormat="1" ht="20.100000000000001" customHeight="1" thickBot="1">
      <c r="A412" s="1810"/>
      <c r="B412" s="1828"/>
      <c r="C412" s="1819"/>
      <c r="D412" s="1819"/>
      <c r="E412" s="1364" t="s">
        <v>324</v>
      </c>
      <c r="F412" s="1365">
        <f>SUM(F413:F414)</f>
        <v>0</v>
      </c>
      <c r="G412" s="1365">
        <f>SUM(G413:G414)</f>
        <v>0</v>
      </c>
      <c r="H412" s="1365">
        <f>SUM(H413:H414)</f>
        <v>0</v>
      </c>
      <c r="I412" s="1365">
        <f>SUM(I413:I414)</f>
        <v>0</v>
      </c>
      <c r="J412" s="1366">
        <f>SUM(J413:J414)</f>
        <v>0</v>
      </c>
      <c r="K412" s="416"/>
    </row>
    <row r="413" spans="1:226" s="418" customFormat="1" ht="15" hidden="1" customHeight="1">
      <c r="A413" s="426"/>
      <c r="B413" s="1378"/>
      <c r="C413" s="1369"/>
      <c r="D413" s="1369"/>
      <c r="E413" s="424" t="s">
        <v>382</v>
      </c>
      <c r="F413" s="425">
        <f>SUM(G413:J413)</f>
        <v>0</v>
      </c>
      <c r="G413" s="425"/>
      <c r="H413" s="425"/>
      <c r="I413" s="425"/>
      <c r="J413" s="1403"/>
      <c r="K413" s="416"/>
    </row>
    <row r="414" spans="1:226" s="418" customFormat="1" ht="15" hidden="1" customHeight="1">
      <c r="A414" s="426"/>
      <c r="B414" s="1378"/>
      <c r="C414" s="1369"/>
      <c r="D414" s="1369"/>
      <c r="E414" s="1379">
        <v>6069</v>
      </c>
      <c r="F414" s="1380">
        <f>SUM(G414:J414)</f>
        <v>0</v>
      </c>
      <c r="G414" s="1380"/>
      <c r="H414" s="1380"/>
      <c r="I414" s="1380"/>
      <c r="J414" s="1381"/>
      <c r="K414" s="416"/>
    </row>
    <row r="415" spans="1:226" s="418" customFormat="1" ht="22.5">
      <c r="A415" s="1808" t="s">
        <v>455</v>
      </c>
      <c r="B415" s="1826" t="s">
        <v>456</v>
      </c>
      <c r="C415" s="1817" t="s">
        <v>10</v>
      </c>
      <c r="D415" s="1817" t="s">
        <v>212</v>
      </c>
      <c r="E415" s="1361" t="s">
        <v>322</v>
      </c>
      <c r="F415" s="1362">
        <f>SUM(F416,F437)</f>
        <v>250700</v>
      </c>
      <c r="G415" s="1362">
        <f>SUM(G416,G437)</f>
        <v>250700</v>
      </c>
      <c r="H415" s="1362">
        <f>SUM(H416,H437)</f>
        <v>0</v>
      </c>
      <c r="I415" s="1362">
        <f>SUM(I416,I437)</f>
        <v>0</v>
      </c>
      <c r="J415" s="1363">
        <f>SUM(J416,J437)</f>
        <v>0</v>
      </c>
      <c r="K415" s="416"/>
      <c r="L415" s="416"/>
      <c r="M415" s="416"/>
      <c r="N415" s="416"/>
      <c r="O415" s="416"/>
      <c r="P415" s="416"/>
      <c r="Q415" s="416"/>
      <c r="R415" s="416"/>
      <c r="S415" s="416"/>
      <c r="T415" s="416"/>
      <c r="U415" s="416"/>
      <c r="V415" s="416"/>
      <c r="W415" s="416"/>
      <c r="X415" s="416"/>
      <c r="Y415" s="416"/>
      <c r="Z415" s="416"/>
      <c r="AA415" s="416"/>
      <c r="AB415" s="416"/>
      <c r="AC415" s="416"/>
      <c r="AD415" s="416"/>
      <c r="AE415" s="416"/>
      <c r="AF415" s="416"/>
      <c r="AG415" s="416"/>
      <c r="AH415" s="416"/>
      <c r="AI415" s="416"/>
      <c r="AJ415" s="416"/>
      <c r="AK415" s="416"/>
      <c r="AL415" s="416"/>
      <c r="AM415" s="416"/>
      <c r="AN415" s="416"/>
      <c r="AO415" s="416"/>
      <c r="AP415" s="416"/>
      <c r="AQ415" s="416"/>
      <c r="AR415" s="416"/>
      <c r="AS415" s="416"/>
      <c r="AT415" s="416"/>
      <c r="AU415" s="416"/>
      <c r="AV415" s="416"/>
      <c r="AW415" s="416"/>
      <c r="AX415" s="416"/>
      <c r="AY415" s="416"/>
      <c r="AZ415" s="416"/>
      <c r="BA415" s="416"/>
      <c r="BB415" s="416"/>
      <c r="BC415" s="416"/>
      <c r="BD415" s="416"/>
      <c r="BE415" s="416"/>
      <c r="BF415" s="416"/>
      <c r="BG415" s="416"/>
      <c r="BH415" s="416"/>
      <c r="BI415" s="416"/>
      <c r="BJ415" s="416"/>
      <c r="BK415" s="416"/>
      <c r="BL415" s="416"/>
      <c r="BM415" s="416"/>
      <c r="BN415" s="416"/>
      <c r="BO415" s="416"/>
      <c r="BP415" s="416"/>
      <c r="BQ415" s="416"/>
      <c r="BR415" s="416"/>
      <c r="BS415" s="416"/>
      <c r="BT415" s="416"/>
      <c r="BU415" s="416"/>
      <c r="BV415" s="416"/>
      <c r="BW415" s="416"/>
      <c r="BX415" s="416"/>
      <c r="BY415" s="416"/>
      <c r="BZ415" s="416"/>
      <c r="CA415" s="416"/>
      <c r="CB415" s="416"/>
      <c r="CC415" s="416"/>
      <c r="CD415" s="416"/>
      <c r="CE415" s="416"/>
      <c r="CF415" s="416"/>
      <c r="CG415" s="416"/>
      <c r="CH415" s="416"/>
      <c r="CI415" s="416"/>
      <c r="CJ415" s="416"/>
      <c r="CK415" s="416"/>
      <c r="CL415" s="416"/>
      <c r="CM415" s="416"/>
      <c r="CN415" s="416"/>
      <c r="CO415" s="416"/>
      <c r="CP415" s="416"/>
      <c r="CQ415" s="416"/>
      <c r="CR415" s="416"/>
      <c r="CS415" s="416"/>
      <c r="CT415" s="416"/>
      <c r="CU415" s="416"/>
      <c r="CV415" s="416"/>
      <c r="CW415" s="416"/>
      <c r="CX415" s="416"/>
      <c r="CY415" s="416"/>
      <c r="CZ415" s="416"/>
      <c r="DA415" s="416"/>
      <c r="DB415" s="416"/>
      <c r="DC415" s="416"/>
      <c r="DD415" s="416"/>
      <c r="DE415" s="416"/>
      <c r="DF415" s="416"/>
      <c r="DG415" s="416"/>
      <c r="DH415" s="416"/>
      <c r="DI415" s="416"/>
      <c r="DJ415" s="416"/>
      <c r="DK415" s="416"/>
      <c r="DL415" s="416"/>
      <c r="DM415" s="416"/>
      <c r="DN415" s="416"/>
      <c r="DO415" s="416"/>
      <c r="DP415" s="416"/>
      <c r="DQ415" s="416"/>
      <c r="DR415" s="416"/>
      <c r="DS415" s="416"/>
      <c r="DT415" s="416"/>
      <c r="DU415" s="416"/>
      <c r="DV415" s="416"/>
      <c r="DW415" s="416"/>
      <c r="DX415" s="416"/>
      <c r="DY415" s="416"/>
      <c r="DZ415" s="416"/>
      <c r="EA415" s="416"/>
      <c r="EB415" s="416"/>
      <c r="EC415" s="416"/>
      <c r="ED415" s="416"/>
      <c r="EE415" s="416"/>
      <c r="EF415" s="416"/>
      <c r="EG415" s="416"/>
      <c r="EH415" s="416"/>
      <c r="EI415" s="416"/>
      <c r="EJ415" s="416"/>
      <c r="EK415" s="416"/>
      <c r="EL415" s="416"/>
      <c r="EM415" s="416"/>
      <c r="EN415" s="416"/>
      <c r="EO415" s="416"/>
      <c r="EP415" s="416"/>
      <c r="EQ415" s="416"/>
      <c r="ER415" s="416"/>
      <c r="ES415" s="416"/>
      <c r="ET415" s="416"/>
      <c r="EU415" s="416"/>
      <c r="EV415" s="416"/>
      <c r="EW415" s="416"/>
      <c r="EX415" s="416"/>
      <c r="EY415" s="416"/>
      <c r="EZ415" s="416"/>
      <c r="FA415" s="416"/>
      <c r="FB415" s="416"/>
      <c r="FC415" s="416"/>
      <c r="FD415" s="416"/>
      <c r="FE415" s="416"/>
      <c r="FF415" s="416"/>
      <c r="FG415" s="416"/>
      <c r="FH415" s="416"/>
      <c r="FI415" s="416"/>
      <c r="FJ415" s="416"/>
      <c r="FK415" s="416"/>
      <c r="FL415" s="416"/>
      <c r="FM415" s="416"/>
      <c r="FN415" s="416"/>
      <c r="FO415" s="416"/>
      <c r="FP415" s="416"/>
      <c r="FQ415" s="416"/>
      <c r="FR415" s="416"/>
      <c r="FS415" s="416"/>
      <c r="FT415" s="416"/>
      <c r="FU415" s="416"/>
      <c r="FV415" s="416"/>
      <c r="FW415" s="416"/>
      <c r="FX415" s="416"/>
      <c r="FY415" s="416"/>
      <c r="FZ415" s="416"/>
      <c r="GA415" s="416"/>
      <c r="GB415" s="416"/>
      <c r="GC415" s="416"/>
      <c r="GD415" s="416"/>
      <c r="GE415" s="416"/>
      <c r="GF415" s="416"/>
      <c r="GG415" s="416"/>
      <c r="GH415" s="416"/>
      <c r="GI415" s="416"/>
      <c r="GJ415" s="416"/>
      <c r="GK415" s="416"/>
      <c r="GL415" s="416"/>
      <c r="GM415" s="416"/>
      <c r="GN415" s="416"/>
      <c r="GO415" s="416"/>
      <c r="GP415" s="416"/>
      <c r="GQ415" s="416"/>
      <c r="GR415" s="416"/>
      <c r="GS415" s="416"/>
      <c r="GT415" s="416"/>
      <c r="GU415" s="416"/>
      <c r="GV415" s="416"/>
      <c r="GW415" s="416"/>
      <c r="GX415" s="416"/>
      <c r="GY415" s="416"/>
      <c r="GZ415" s="416"/>
      <c r="HA415" s="416"/>
      <c r="HB415" s="416"/>
      <c r="HC415" s="416"/>
      <c r="HD415" s="416"/>
      <c r="HE415" s="416"/>
      <c r="HF415" s="416"/>
      <c r="HG415" s="416"/>
      <c r="HH415" s="416"/>
      <c r="HI415" s="416"/>
      <c r="HJ415" s="416"/>
      <c r="HK415" s="416"/>
      <c r="HL415" s="416"/>
      <c r="HM415" s="416"/>
      <c r="HN415" s="416"/>
      <c r="HO415" s="416"/>
      <c r="HP415" s="416"/>
      <c r="HQ415" s="416"/>
      <c r="HR415" s="416"/>
    </row>
    <row r="416" spans="1:226" s="418" customFormat="1" ht="21">
      <c r="A416" s="1809"/>
      <c r="B416" s="1827"/>
      <c r="C416" s="1818"/>
      <c r="D416" s="1818"/>
      <c r="E416" s="1346" t="s">
        <v>334</v>
      </c>
      <c r="F416" s="1347">
        <f>SUM(F417,F426)</f>
        <v>250700</v>
      </c>
      <c r="G416" s="1347">
        <f>SUM(G417,G426)</f>
        <v>250700</v>
      </c>
      <c r="H416" s="1347">
        <f>SUM(H417,H426)</f>
        <v>0</v>
      </c>
      <c r="I416" s="1347">
        <f>SUM(I417,I426)</f>
        <v>0</v>
      </c>
      <c r="J416" s="1348">
        <f>SUM(J417,J426)</f>
        <v>0</v>
      </c>
      <c r="K416" s="416"/>
    </row>
    <row r="417" spans="1:11" s="418" customFormat="1" ht="24.95" customHeight="1">
      <c r="A417" s="1809"/>
      <c r="B417" s="1827"/>
      <c r="C417" s="1818"/>
      <c r="D417" s="1818"/>
      <c r="E417" s="1349" t="s">
        <v>335</v>
      </c>
      <c r="F417" s="1350">
        <f>SUM(F418:F425)</f>
        <v>138800</v>
      </c>
      <c r="G417" s="1350">
        <f>SUM(G418:G425)</f>
        <v>138800</v>
      </c>
      <c r="H417" s="1350">
        <f>SUM(H418:H425)</f>
        <v>0</v>
      </c>
      <c r="I417" s="1350">
        <f>SUM(I418:I425)</f>
        <v>0</v>
      </c>
      <c r="J417" s="1351">
        <f>SUM(J418:J425)</f>
        <v>0</v>
      </c>
      <c r="K417" s="416"/>
    </row>
    <row r="418" spans="1:11" s="418" customFormat="1" ht="15" customHeight="1">
      <c r="A418" s="1809"/>
      <c r="B418" s="1827"/>
      <c r="C418" s="1818"/>
      <c r="D418" s="1818"/>
      <c r="E418" s="1352" t="s">
        <v>362</v>
      </c>
      <c r="F418" s="1353">
        <f t="shared" ref="F418:F425" si="41">SUM(G418:J418)</f>
        <v>89250</v>
      </c>
      <c r="G418" s="1353">
        <v>89250</v>
      </c>
      <c r="H418" s="1353"/>
      <c r="I418" s="1353"/>
      <c r="J418" s="1354"/>
      <c r="K418" s="416"/>
    </row>
    <row r="419" spans="1:11" s="418" customFormat="1" ht="15" customHeight="1">
      <c r="A419" s="1809"/>
      <c r="B419" s="1827"/>
      <c r="C419" s="1818"/>
      <c r="D419" s="1818"/>
      <c r="E419" s="1352" t="s">
        <v>363</v>
      </c>
      <c r="F419" s="1353">
        <f t="shared" si="41"/>
        <v>15750</v>
      </c>
      <c r="G419" s="1353">
        <v>15750</v>
      </c>
      <c r="H419" s="1353"/>
      <c r="I419" s="1353"/>
      <c r="J419" s="1354"/>
      <c r="K419" s="416"/>
    </row>
    <row r="420" spans="1:11" s="418" customFormat="1" ht="15" customHeight="1">
      <c r="A420" s="1809"/>
      <c r="B420" s="1827"/>
      <c r="C420" s="1818"/>
      <c r="D420" s="1818"/>
      <c r="E420" s="1352" t="s">
        <v>336</v>
      </c>
      <c r="F420" s="1353">
        <f t="shared" si="41"/>
        <v>16235</v>
      </c>
      <c r="G420" s="1353">
        <v>16235</v>
      </c>
      <c r="H420" s="1353"/>
      <c r="I420" s="1353"/>
      <c r="J420" s="1354"/>
      <c r="K420" s="416"/>
    </row>
    <row r="421" spans="1:11" s="418" customFormat="1" ht="15" customHeight="1">
      <c r="A421" s="1809"/>
      <c r="B421" s="1827"/>
      <c r="C421" s="1818"/>
      <c r="D421" s="1818"/>
      <c r="E421" s="1352" t="s">
        <v>337</v>
      </c>
      <c r="F421" s="1353">
        <f t="shared" si="41"/>
        <v>2865</v>
      </c>
      <c r="G421" s="1353">
        <v>2865</v>
      </c>
      <c r="H421" s="1353"/>
      <c r="I421" s="1353"/>
      <c r="J421" s="1354"/>
      <c r="K421" s="416"/>
    </row>
    <row r="422" spans="1:11" s="418" customFormat="1" ht="15" customHeight="1">
      <c r="A422" s="1809"/>
      <c r="B422" s="1827"/>
      <c r="C422" s="1818"/>
      <c r="D422" s="1818"/>
      <c r="E422" s="1352" t="s">
        <v>366</v>
      </c>
      <c r="F422" s="1353">
        <f t="shared" si="41"/>
        <v>1700</v>
      </c>
      <c r="G422" s="1353">
        <v>1700</v>
      </c>
      <c r="H422" s="1353"/>
      <c r="I422" s="1353"/>
      <c r="J422" s="1354"/>
      <c r="K422" s="416"/>
    </row>
    <row r="423" spans="1:11" s="418" customFormat="1" ht="15" customHeight="1">
      <c r="A423" s="1809"/>
      <c r="B423" s="1827"/>
      <c r="C423" s="1818"/>
      <c r="D423" s="1818"/>
      <c r="E423" s="1352" t="s">
        <v>367</v>
      </c>
      <c r="F423" s="1353">
        <f t="shared" si="41"/>
        <v>300</v>
      </c>
      <c r="G423" s="1353">
        <v>300</v>
      </c>
      <c r="H423" s="1353"/>
      <c r="I423" s="1353"/>
      <c r="J423" s="1354"/>
      <c r="K423" s="416"/>
    </row>
    <row r="424" spans="1:11" s="418" customFormat="1" ht="15" customHeight="1">
      <c r="A424" s="1809"/>
      <c r="B424" s="1827"/>
      <c r="C424" s="1818"/>
      <c r="D424" s="1818"/>
      <c r="E424" s="1352" t="s">
        <v>338</v>
      </c>
      <c r="F424" s="1353">
        <f t="shared" si="41"/>
        <v>10795</v>
      </c>
      <c r="G424" s="1353">
        <v>10795</v>
      </c>
      <c r="H424" s="1353"/>
      <c r="I424" s="1353"/>
      <c r="J424" s="1354"/>
      <c r="K424" s="416"/>
    </row>
    <row r="425" spans="1:11" s="418" customFormat="1" ht="15" customHeight="1">
      <c r="A425" s="1809"/>
      <c r="B425" s="1827"/>
      <c r="C425" s="1818"/>
      <c r="D425" s="1818"/>
      <c r="E425" s="1352" t="s">
        <v>339</v>
      </c>
      <c r="F425" s="1353">
        <f t="shared" si="41"/>
        <v>1905</v>
      </c>
      <c r="G425" s="1353">
        <v>1905</v>
      </c>
      <c r="H425" s="1353"/>
      <c r="I425" s="1353"/>
      <c r="J425" s="1354"/>
      <c r="K425" s="416"/>
    </row>
    <row r="426" spans="1:11" s="418" customFormat="1" ht="22.5">
      <c r="A426" s="1809"/>
      <c r="B426" s="1827"/>
      <c r="C426" s="1818"/>
      <c r="D426" s="1818"/>
      <c r="E426" s="1349" t="s">
        <v>340</v>
      </c>
      <c r="F426" s="1350">
        <f>SUM(F427:F436)</f>
        <v>111900</v>
      </c>
      <c r="G426" s="1350">
        <f>SUM(G427:G436)</f>
        <v>111900</v>
      </c>
      <c r="H426" s="1350">
        <f>SUM(H427:H436)</f>
        <v>0</v>
      </c>
      <c r="I426" s="1350">
        <f>SUM(I427:I436)</f>
        <v>0</v>
      </c>
      <c r="J426" s="1351">
        <f>SUM(J427:J436)</f>
        <v>0</v>
      </c>
      <c r="K426" s="416"/>
    </row>
    <row r="427" spans="1:11" s="418" customFormat="1" ht="15" customHeight="1">
      <c r="A427" s="1809"/>
      <c r="B427" s="1827"/>
      <c r="C427" s="1818"/>
      <c r="D427" s="1818"/>
      <c r="E427" s="1352" t="s">
        <v>356</v>
      </c>
      <c r="F427" s="1353">
        <f t="shared" ref="F427:F436" si="42">SUM(G427:J427)</f>
        <v>2890</v>
      </c>
      <c r="G427" s="1353">
        <v>2890</v>
      </c>
      <c r="H427" s="1353"/>
      <c r="I427" s="1353"/>
      <c r="J427" s="1354"/>
      <c r="K427" s="416"/>
    </row>
    <row r="428" spans="1:11" s="418" customFormat="1" ht="15" customHeight="1">
      <c r="A428" s="1809"/>
      <c r="B428" s="1827"/>
      <c r="C428" s="1818"/>
      <c r="D428" s="1818"/>
      <c r="E428" s="1352" t="s">
        <v>357</v>
      </c>
      <c r="F428" s="1353">
        <f t="shared" si="42"/>
        <v>510</v>
      </c>
      <c r="G428" s="1353">
        <v>510</v>
      </c>
      <c r="H428" s="1353"/>
      <c r="I428" s="1353"/>
      <c r="J428" s="1354"/>
      <c r="K428" s="416"/>
    </row>
    <row r="429" spans="1:11" s="418" customFormat="1" ht="15" customHeight="1">
      <c r="A429" s="1809"/>
      <c r="B429" s="1827"/>
      <c r="C429" s="1818"/>
      <c r="D429" s="1818"/>
      <c r="E429" s="1352" t="s">
        <v>341</v>
      </c>
      <c r="F429" s="1353">
        <f t="shared" si="42"/>
        <v>5525</v>
      </c>
      <c r="G429" s="1353">
        <v>5525</v>
      </c>
      <c r="H429" s="1353"/>
      <c r="I429" s="1353"/>
      <c r="J429" s="1354"/>
      <c r="K429" s="416"/>
    </row>
    <row r="430" spans="1:11" s="418" customFormat="1" ht="15" customHeight="1">
      <c r="A430" s="1809"/>
      <c r="B430" s="1827"/>
      <c r="C430" s="1818"/>
      <c r="D430" s="1818"/>
      <c r="E430" s="1352" t="s">
        <v>342</v>
      </c>
      <c r="F430" s="1353">
        <f t="shared" si="42"/>
        <v>975</v>
      </c>
      <c r="G430" s="1353">
        <v>975</v>
      </c>
      <c r="H430" s="1353"/>
      <c r="I430" s="1353"/>
      <c r="J430" s="1354"/>
      <c r="K430" s="416"/>
    </row>
    <row r="431" spans="1:11" s="418" customFormat="1" ht="15" customHeight="1">
      <c r="A431" s="1809"/>
      <c r="B431" s="1827"/>
      <c r="C431" s="1818"/>
      <c r="D431" s="1818"/>
      <c r="E431" s="1352" t="s">
        <v>343</v>
      </c>
      <c r="F431" s="1353">
        <f t="shared" si="42"/>
        <v>53125</v>
      </c>
      <c r="G431" s="1353">
        <v>53125</v>
      </c>
      <c r="H431" s="1353"/>
      <c r="I431" s="1353"/>
      <c r="J431" s="1354"/>
      <c r="K431" s="416"/>
    </row>
    <row r="432" spans="1:11" s="418" customFormat="1" ht="15" customHeight="1">
      <c r="A432" s="1809"/>
      <c r="B432" s="1827"/>
      <c r="C432" s="1818"/>
      <c r="D432" s="1818"/>
      <c r="E432" s="1352" t="s">
        <v>344</v>
      </c>
      <c r="F432" s="1353">
        <f t="shared" si="42"/>
        <v>9375</v>
      </c>
      <c r="G432" s="1353">
        <v>9375</v>
      </c>
      <c r="H432" s="1353"/>
      <c r="I432" s="1353"/>
      <c r="J432" s="1354"/>
      <c r="K432" s="416"/>
    </row>
    <row r="433" spans="1:226" s="418" customFormat="1" ht="15" customHeight="1">
      <c r="A433" s="1809"/>
      <c r="B433" s="1827"/>
      <c r="C433" s="1818"/>
      <c r="D433" s="1818"/>
      <c r="E433" s="1352" t="s">
        <v>345</v>
      </c>
      <c r="F433" s="1353">
        <f t="shared" si="42"/>
        <v>2975</v>
      </c>
      <c r="G433" s="1353">
        <v>2975</v>
      </c>
      <c r="H433" s="1353"/>
      <c r="I433" s="1353"/>
      <c r="J433" s="1354"/>
      <c r="K433" s="416"/>
    </row>
    <row r="434" spans="1:226" s="418" customFormat="1" ht="15" customHeight="1">
      <c r="A434" s="1809"/>
      <c r="B434" s="1827"/>
      <c r="C434" s="1818"/>
      <c r="D434" s="1818"/>
      <c r="E434" s="1352" t="s">
        <v>346</v>
      </c>
      <c r="F434" s="1353">
        <f t="shared" si="42"/>
        <v>525</v>
      </c>
      <c r="G434" s="1353">
        <v>525</v>
      </c>
      <c r="H434" s="1353"/>
      <c r="I434" s="1353"/>
      <c r="J434" s="1354"/>
      <c r="K434" s="416"/>
    </row>
    <row r="435" spans="1:226" s="418" customFormat="1" ht="15" customHeight="1">
      <c r="A435" s="1809"/>
      <c r="B435" s="1827"/>
      <c r="C435" s="1818"/>
      <c r="D435" s="1818"/>
      <c r="E435" s="1352" t="s">
        <v>376</v>
      </c>
      <c r="F435" s="1353">
        <f t="shared" si="42"/>
        <v>30600</v>
      </c>
      <c r="G435" s="1353">
        <v>30600</v>
      </c>
      <c r="H435" s="1353"/>
      <c r="I435" s="1353"/>
      <c r="J435" s="1354"/>
      <c r="K435" s="416"/>
    </row>
    <row r="436" spans="1:226" s="418" customFormat="1" ht="15" customHeight="1">
      <c r="A436" s="1809"/>
      <c r="B436" s="1827"/>
      <c r="C436" s="1818"/>
      <c r="D436" s="1818"/>
      <c r="E436" s="1352" t="s">
        <v>377</v>
      </c>
      <c r="F436" s="1353">
        <f t="shared" si="42"/>
        <v>5400</v>
      </c>
      <c r="G436" s="1353">
        <v>5400</v>
      </c>
      <c r="H436" s="1353"/>
      <c r="I436" s="1353"/>
      <c r="J436" s="1354"/>
      <c r="K436" s="416"/>
    </row>
    <row r="437" spans="1:226" s="418" customFormat="1" ht="21" customHeight="1" thickBot="1">
      <c r="A437" s="1810"/>
      <c r="B437" s="1828"/>
      <c r="C437" s="1819"/>
      <c r="D437" s="1819"/>
      <c r="E437" s="1364" t="s">
        <v>324</v>
      </c>
      <c r="F437" s="1365">
        <f>SUM(F438:F439)</f>
        <v>0</v>
      </c>
      <c r="G437" s="1365">
        <f>SUM(G438:G439)</f>
        <v>0</v>
      </c>
      <c r="H437" s="1365">
        <f>SUM(H438:H439)</f>
        <v>0</v>
      </c>
      <c r="I437" s="1365">
        <f>SUM(I438:I439)</f>
        <v>0</v>
      </c>
      <c r="J437" s="1366">
        <f>SUM(J438:J439)</f>
        <v>0</v>
      </c>
      <c r="K437" s="416"/>
    </row>
    <row r="438" spans="1:226" s="418" customFormat="1" ht="15" hidden="1" customHeight="1">
      <c r="A438" s="426"/>
      <c r="B438" s="1378"/>
      <c r="C438" s="1369"/>
      <c r="D438" s="1369"/>
      <c r="E438" s="424"/>
      <c r="F438" s="425">
        <f>SUM(G438:J438)</f>
        <v>0</v>
      </c>
      <c r="G438" s="425"/>
      <c r="H438" s="425"/>
      <c r="I438" s="425"/>
      <c r="J438" s="1403"/>
      <c r="K438" s="416"/>
    </row>
    <row r="439" spans="1:226" s="418" customFormat="1" ht="15" hidden="1" customHeight="1">
      <c r="A439" s="420"/>
      <c r="B439" s="421"/>
      <c r="C439" s="423"/>
      <c r="D439" s="423"/>
      <c r="E439" s="1404"/>
      <c r="F439" s="1405">
        <f>SUM(G439:J439)</f>
        <v>0</v>
      </c>
      <c r="G439" s="1405"/>
      <c r="H439" s="1405"/>
      <c r="I439" s="1405"/>
      <c r="J439" s="1406"/>
      <c r="K439" s="416"/>
    </row>
    <row r="440" spans="1:226" s="418" customFormat="1" ht="22.5" customHeight="1">
      <c r="A440" s="1773" t="s">
        <v>457</v>
      </c>
      <c r="B440" s="1775" t="s">
        <v>458</v>
      </c>
      <c r="C440" s="1807" t="s">
        <v>4</v>
      </c>
      <c r="D440" s="1807" t="s">
        <v>3</v>
      </c>
      <c r="E440" s="1343" t="s">
        <v>322</v>
      </c>
      <c r="F440" s="1344">
        <f>SUM(F441,F460)</f>
        <v>808330</v>
      </c>
      <c r="G440" s="1344">
        <f>SUM(G441,G460)</f>
        <v>808330</v>
      </c>
      <c r="H440" s="1344">
        <f>SUM(H441,H460)</f>
        <v>0</v>
      </c>
      <c r="I440" s="1344">
        <f>SUM(I441,I460)</f>
        <v>0</v>
      </c>
      <c r="J440" s="1345">
        <f>SUM(J441,J460)</f>
        <v>0</v>
      </c>
      <c r="K440" s="416"/>
      <c r="L440" s="416"/>
      <c r="M440" s="416"/>
      <c r="N440" s="416"/>
      <c r="O440" s="416"/>
      <c r="P440" s="416"/>
      <c r="Q440" s="416"/>
      <c r="R440" s="416"/>
      <c r="S440" s="416"/>
      <c r="T440" s="416"/>
      <c r="U440" s="416"/>
      <c r="V440" s="416"/>
      <c r="W440" s="416"/>
      <c r="X440" s="416"/>
      <c r="Y440" s="416"/>
      <c r="Z440" s="416"/>
      <c r="AA440" s="416"/>
      <c r="AB440" s="416"/>
      <c r="AC440" s="416"/>
      <c r="AD440" s="416"/>
      <c r="AE440" s="416"/>
      <c r="AF440" s="416"/>
      <c r="AG440" s="416"/>
      <c r="AH440" s="416"/>
      <c r="AI440" s="416"/>
      <c r="AJ440" s="416"/>
      <c r="AK440" s="416"/>
      <c r="AL440" s="416"/>
      <c r="AM440" s="416"/>
      <c r="AN440" s="416"/>
      <c r="AO440" s="416"/>
      <c r="AP440" s="416"/>
      <c r="AQ440" s="416"/>
      <c r="AR440" s="416"/>
      <c r="AS440" s="416"/>
      <c r="AT440" s="416"/>
      <c r="AU440" s="416"/>
      <c r="AV440" s="416"/>
      <c r="AW440" s="416"/>
      <c r="AX440" s="416"/>
      <c r="AY440" s="416"/>
      <c r="AZ440" s="416"/>
      <c r="BA440" s="416"/>
      <c r="BB440" s="416"/>
      <c r="BC440" s="416"/>
      <c r="BD440" s="416"/>
      <c r="BE440" s="416"/>
      <c r="BF440" s="416"/>
      <c r="BG440" s="416"/>
      <c r="BH440" s="416"/>
      <c r="BI440" s="416"/>
      <c r="BJ440" s="416"/>
      <c r="BK440" s="416"/>
      <c r="BL440" s="416"/>
      <c r="BM440" s="416"/>
      <c r="BN440" s="416"/>
      <c r="BO440" s="416"/>
      <c r="BP440" s="416"/>
      <c r="BQ440" s="416"/>
      <c r="BR440" s="416"/>
      <c r="BS440" s="416"/>
      <c r="BT440" s="416"/>
      <c r="BU440" s="416"/>
      <c r="BV440" s="416"/>
      <c r="BW440" s="416"/>
      <c r="BX440" s="416"/>
      <c r="BY440" s="416"/>
      <c r="BZ440" s="416"/>
      <c r="CA440" s="416"/>
      <c r="CB440" s="416"/>
      <c r="CC440" s="416"/>
      <c r="CD440" s="416"/>
      <c r="CE440" s="416"/>
      <c r="CF440" s="416"/>
      <c r="CG440" s="416"/>
      <c r="CH440" s="416"/>
      <c r="CI440" s="416"/>
      <c r="CJ440" s="416"/>
      <c r="CK440" s="416"/>
      <c r="CL440" s="416"/>
      <c r="CM440" s="416"/>
      <c r="CN440" s="416"/>
      <c r="CO440" s="416"/>
      <c r="CP440" s="416"/>
      <c r="CQ440" s="416"/>
      <c r="CR440" s="416"/>
      <c r="CS440" s="416"/>
      <c r="CT440" s="416"/>
      <c r="CU440" s="416"/>
      <c r="CV440" s="416"/>
      <c r="CW440" s="416"/>
      <c r="CX440" s="416"/>
      <c r="CY440" s="416"/>
      <c r="CZ440" s="416"/>
      <c r="DA440" s="416"/>
      <c r="DB440" s="416"/>
      <c r="DC440" s="416"/>
      <c r="DD440" s="416"/>
      <c r="DE440" s="416"/>
      <c r="DF440" s="416"/>
      <c r="DG440" s="416"/>
      <c r="DH440" s="416"/>
      <c r="DI440" s="416"/>
      <c r="DJ440" s="416"/>
      <c r="DK440" s="416"/>
      <c r="DL440" s="416"/>
      <c r="DM440" s="416"/>
      <c r="DN440" s="416"/>
      <c r="DO440" s="416"/>
      <c r="DP440" s="416"/>
      <c r="DQ440" s="416"/>
      <c r="DR440" s="416"/>
      <c r="DS440" s="416"/>
      <c r="DT440" s="416"/>
      <c r="DU440" s="416"/>
      <c r="DV440" s="416"/>
      <c r="DW440" s="416"/>
      <c r="DX440" s="416"/>
      <c r="DY440" s="416"/>
      <c r="DZ440" s="416"/>
      <c r="EA440" s="416"/>
      <c r="EB440" s="416"/>
      <c r="EC440" s="416"/>
      <c r="ED440" s="416"/>
      <c r="EE440" s="416"/>
      <c r="EF440" s="416"/>
      <c r="EG440" s="416"/>
      <c r="EH440" s="416"/>
      <c r="EI440" s="416"/>
      <c r="EJ440" s="416"/>
      <c r="EK440" s="416"/>
      <c r="EL440" s="416"/>
      <c r="EM440" s="416"/>
      <c r="EN440" s="416"/>
      <c r="EO440" s="416"/>
      <c r="EP440" s="416"/>
      <c r="EQ440" s="416"/>
      <c r="ER440" s="416"/>
      <c r="ES440" s="416"/>
      <c r="ET440" s="416"/>
      <c r="EU440" s="416"/>
      <c r="EV440" s="416"/>
      <c r="EW440" s="416"/>
      <c r="EX440" s="416"/>
      <c r="EY440" s="416"/>
      <c r="EZ440" s="416"/>
      <c r="FA440" s="416"/>
      <c r="FB440" s="416"/>
      <c r="FC440" s="416"/>
      <c r="FD440" s="416"/>
      <c r="FE440" s="416"/>
      <c r="FF440" s="416"/>
      <c r="FG440" s="416"/>
      <c r="FH440" s="416"/>
      <c r="FI440" s="416"/>
      <c r="FJ440" s="416"/>
      <c r="FK440" s="416"/>
      <c r="FL440" s="416"/>
      <c r="FM440" s="416"/>
      <c r="FN440" s="416"/>
      <c r="FO440" s="416"/>
      <c r="FP440" s="416"/>
      <c r="FQ440" s="416"/>
      <c r="FR440" s="416"/>
      <c r="FS440" s="416"/>
      <c r="FT440" s="416"/>
      <c r="FU440" s="416"/>
      <c r="FV440" s="416"/>
      <c r="FW440" s="416"/>
      <c r="FX440" s="416"/>
      <c r="FY440" s="416"/>
      <c r="FZ440" s="416"/>
      <c r="GA440" s="416"/>
      <c r="GB440" s="416"/>
      <c r="GC440" s="416"/>
      <c r="GD440" s="416"/>
      <c r="GE440" s="416"/>
      <c r="GF440" s="416"/>
      <c r="GG440" s="416"/>
      <c r="GH440" s="416"/>
      <c r="GI440" s="416"/>
      <c r="GJ440" s="416"/>
      <c r="GK440" s="416"/>
      <c r="GL440" s="416"/>
      <c r="GM440" s="416"/>
      <c r="GN440" s="416"/>
      <c r="GO440" s="416"/>
      <c r="GP440" s="416"/>
      <c r="GQ440" s="416"/>
      <c r="GR440" s="416"/>
      <c r="GS440" s="416"/>
      <c r="GT440" s="416"/>
      <c r="GU440" s="416"/>
      <c r="GV440" s="416"/>
      <c r="GW440" s="416"/>
      <c r="GX440" s="416"/>
      <c r="GY440" s="416"/>
      <c r="GZ440" s="416"/>
      <c r="HA440" s="416"/>
      <c r="HB440" s="416"/>
      <c r="HC440" s="416"/>
      <c r="HD440" s="416"/>
      <c r="HE440" s="416"/>
      <c r="HF440" s="416"/>
      <c r="HG440" s="416"/>
      <c r="HH440" s="416"/>
      <c r="HI440" s="416"/>
      <c r="HJ440" s="416"/>
      <c r="HK440" s="416"/>
      <c r="HL440" s="416"/>
      <c r="HM440" s="416"/>
      <c r="HN440" s="416"/>
      <c r="HO440" s="416"/>
      <c r="HP440" s="416"/>
      <c r="HQ440" s="416"/>
      <c r="HR440" s="416"/>
    </row>
    <row r="441" spans="1:226" s="418" customFormat="1" ht="21">
      <c r="A441" s="1809"/>
      <c r="B441" s="1827"/>
      <c r="C441" s="1818"/>
      <c r="D441" s="1818"/>
      <c r="E441" s="1346" t="s">
        <v>334</v>
      </c>
      <c r="F441" s="1347">
        <f>SUM(F442,F451)</f>
        <v>793330</v>
      </c>
      <c r="G441" s="1347">
        <f>SUM(G442,G451)</f>
        <v>793330</v>
      </c>
      <c r="H441" s="1347">
        <f>SUM(H442,H451)</f>
        <v>0</v>
      </c>
      <c r="I441" s="1347">
        <f>SUM(I442,I451)</f>
        <v>0</v>
      </c>
      <c r="J441" s="1348">
        <f>SUM(J442,J451)</f>
        <v>0</v>
      </c>
      <c r="K441" s="416"/>
    </row>
    <row r="442" spans="1:226" s="418" customFormat="1" ht="22.5">
      <c r="A442" s="1809"/>
      <c r="B442" s="1827"/>
      <c r="C442" s="1818"/>
      <c r="D442" s="1818"/>
      <c r="E442" s="1349" t="s">
        <v>335</v>
      </c>
      <c r="F442" s="1350">
        <f>SUM(F443:F450)</f>
        <v>132511</v>
      </c>
      <c r="G442" s="1350">
        <f>SUM(G443:G450)</f>
        <v>132511</v>
      </c>
      <c r="H442" s="1350">
        <f>SUM(H443:H450)</f>
        <v>0</v>
      </c>
      <c r="I442" s="1350">
        <f>SUM(I443:I450)</f>
        <v>0</v>
      </c>
      <c r="J442" s="1351">
        <f>SUM(J443:J450)</f>
        <v>0</v>
      </c>
      <c r="K442" s="416"/>
    </row>
    <row r="443" spans="1:226" s="418" customFormat="1" ht="14.1" customHeight="1">
      <c r="A443" s="1809"/>
      <c r="B443" s="1827"/>
      <c r="C443" s="1818"/>
      <c r="D443" s="1818"/>
      <c r="E443" s="1352" t="s">
        <v>362</v>
      </c>
      <c r="F443" s="1353">
        <f t="shared" ref="F443:F450" si="43">SUM(G443:J443)</f>
        <v>93997</v>
      </c>
      <c r="G443" s="1353">
        <v>93997</v>
      </c>
      <c r="H443" s="1353"/>
      <c r="I443" s="1353"/>
      <c r="J443" s="1354"/>
      <c r="K443" s="416"/>
    </row>
    <row r="444" spans="1:226" s="418" customFormat="1" ht="14.1" customHeight="1">
      <c r="A444" s="1809"/>
      <c r="B444" s="1827"/>
      <c r="C444" s="1818"/>
      <c r="D444" s="1818"/>
      <c r="E444" s="1352" t="s">
        <v>363</v>
      </c>
      <c r="F444" s="1353">
        <f t="shared" si="43"/>
        <v>16588</v>
      </c>
      <c r="G444" s="1353">
        <v>16588</v>
      </c>
      <c r="H444" s="1353"/>
      <c r="I444" s="1353"/>
      <c r="J444" s="1354"/>
      <c r="K444" s="416"/>
    </row>
    <row r="445" spans="1:226" s="418" customFormat="1" ht="14.1" customHeight="1">
      <c r="A445" s="1809"/>
      <c r="B445" s="1827"/>
      <c r="C445" s="1818"/>
      <c r="D445" s="1818"/>
      <c r="E445" s="1352" t="s">
        <v>336</v>
      </c>
      <c r="F445" s="1353">
        <f t="shared" si="43"/>
        <v>16336</v>
      </c>
      <c r="G445" s="1353">
        <v>16336</v>
      </c>
      <c r="H445" s="1353"/>
      <c r="I445" s="1353"/>
      <c r="J445" s="1354"/>
      <c r="K445" s="416"/>
    </row>
    <row r="446" spans="1:226" s="418" customFormat="1" ht="14.1" customHeight="1">
      <c r="A446" s="1809"/>
      <c r="B446" s="1827"/>
      <c r="C446" s="1818"/>
      <c r="D446" s="1818"/>
      <c r="E446" s="1352" t="s">
        <v>337</v>
      </c>
      <c r="F446" s="1353">
        <f t="shared" si="43"/>
        <v>2882</v>
      </c>
      <c r="G446" s="1353">
        <v>2882</v>
      </c>
      <c r="H446" s="1353"/>
      <c r="I446" s="1353"/>
      <c r="J446" s="1354"/>
      <c r="K446" s="416"/>
    </row>
    <row r="447" spans="1:226" s="418" customFormat="1" ht="14.1" customHeight="1">
      <c r="A447" s="1809"/>
      <c r="B447" s="1827"/>
      <c r="C447" s="1818"/>
      <c r="D447" s="1818"/>
      <c r="E447" s="1352" t="s">
        <v>366</v>
      </c>
      <c r="F447" s="1353">
        <f t="shared" si="43"/>
        <v>2302</v>
      </c>
      <c r="G447" s="1353">
        <v>2302</v>
      </c>
      <c r="H447" s="1353"/>
      <c r="I447" s="1353"/>
      <c r="J447" s="1354"/>
      <c r="K447" s="416"/>
    </row>
    <row r="448" spans="1:226" s="418" customFormat="1" ht="14.1" customHeight="1">
      <c r="A448" s="1809"/>
      <c r="B448" s="1827"/>
      <c r="C448" s="1818"/>
      <c r="D448" s="1818"/>
      <c r="E448" s="1352" t="s">
        <v>367</v>
      </c>
      <c r="F448" s="1353">
        <f t="shared" si="43"/>
        <v>406</v>
      </c>
      <c r="G448" s="1353">
        <v>406</v>
      </c>
      <c r="H448" s="1353"/>
      <c r="I448" s="1353"/>
      <c r="J448" s="1354"/>
      <c r="K448" s="416"/>
    </row>
    <row r="449" spans="1:226" s="418" customFormat="1" ht="14.1" hidden="1" customHeight="1">
      <c r="A449" s="1809"/>
      <c r="B449" s="1827"/>
      <c r="C449" s="1818"/>
      <c r="D449" s="1818"/>
      <c r="E449" s="1352" t="s">
        <v>338</v>
      </c>
      <c r="F449" s="1353">
        <f t="shared" si="43"/>
        <v>0</v>
      </c>
      <c r="G449" s="1353"/>
      <c r="H449" s="1353"/>
      <c r="I449" s="1353"/>
      <c r="J449" s="1354"/>
      <c r="K449" s="416"/>
    </row>
    <row r="450" spans="1:226" s="418" customFormat="1" ht="14.1" hidden="1" customHeight="1">
      <c r="A450" s="1809"/>
      <c r="B450" s="1827"/>
      <c r="C450" s="1818"/>
      <c r="D450" s="1818"/>
      <c r="E450" s="1352" t="s">
        <v>339</v>
      </c>
      <c r="F450" s="1353">
        <f t="shared" si="43"/>
        <v>0</v>
      </c>
      <c r="G450" s="1353"/>
      <c r="H450" s="1353"/>
      <c r="I450" s="1353"/>
      <c r="J450" s="1354"/>
      <c r="K450" s="416"/>
    </row>
    <row r="451" spans="1:226" s="418" customFormat="1" ht="22.5">
      <c r="A451" s="1809"/>
      <c r="B451" s="1827"/>
      <c r="C451" s="1818"/>
      <c r="D451" s="1818"/>
      <c r="E451" s="1349" t="s">
        <v>340</v>
      </c>
      <c r="F451" s="1350">
        <f>SUM(F452:F459)</f>
        <v>660819</v>
      </c>
      <c r="G451" s="1350">
        <f>SUM(G452:G459)</f>
        <v>660819</v>
      </c>
      <c r="H451" s="1350">
        <f>SUM(H452:H459)</f>
        <v>0</v>
      </c>
      <c r="I451" s="1350">
        <f>SUM(I452:I459)</f>
        <v>0</v>
      </c>
      <c r="J451" s="1351">
        <f>SUM(J452:J459)</f>
        <v>0</v>
      </c>
      <c r="K451" s="417"/>
    </row>
    <row r="452" spans="1:226" s="418" customFormat="1" ht="14.1" customHeight="1">
      <c r="A452" s="1809"/>
      <c r="B452" s="1827"/>
      <c r="C452" s="1818"/>
      <c r="D452" s="1818"/>
      <c r="E452" s="1383" t="s">
        <v>341</v>
      </c>
      <c r="F452" s="1353">
        <f>SUM(G452:J452)</f>
        <v>266373</v>
      </c>
      <c r="G452" s="1353">
        <v>266373</v>
      </c>
      <c r="H452" s="1353"/>
      <c r="I452" s="1353"/>
      <c r="J452" s="1354"/>
      <c r="K452" s="417"/>
    </row>
    <row r="453" spans="1:226" s="418" customFormat="1" ht="14.1" customHeight="1">
      <c r="A453" s="1809"/>
      <c r="B453" s="1827"/>
      <c r="C453" s="1818"/>
      <c r="D453" s="1818"/>
      <c r="E453" s="1383" t="s">
        <v>342</v>
      </c>
      <c r="F453" s="1353">
        <f t="shared" ref="F453:F454" si="44">SUM(G453:J453)</f>
        <v>47008</v>
      </c>
      <c r="G453" s="1353">
        <v>47008</v>
      </c>
      <c r="H453" s="1353"/>
      <c r="I453" s="1353"/>
      <c r="J453" s="1354"/>
      <c r="K453" s="417"/>
    </row>
    <row r="454" spans="1:226" s="418" customFormat="1" ht="14.1" customHeight="1">
      <c r="A454" s="1809"/>
      <c r="B454" s="1827"/>
      <c r="C454" s="1818"/>
      <c r="D454" s="1818"/>
      <c r="E454" s="1352" t="s">
        <v>343</v>
      </c>
      <c r="F454" s="1353">
        <f t="shared" si="44"/>
        <v>292939</v>
      </c>
      <c r="G454" s="1353">
        <v>292939</v>
      </c>
      <c r="H454" s="1353"/>
      <c r="I454" s="1353"/>
      <c r="J454" s="1354"/>
      <c r="K454" s="417"/>
    </row>
    <row r="455" spans="1:226" s="418" customFormat="1" ht="14.1" customHeight="1">
      <c r="A455" s="1809"/>
      <c r="B455" s="1827"/>
      <c r="C455" s="1818"/>
      <c r="D455" s="1818"/>
      <c r="E455" s="1352" t="s">
        <v>344</v>
      </c>
      <c r="F455" s="1353">
        <f>SUM(G455:J455)</f>
        <v>51699</v>
      </c>
      <c r="G455" s="1353">
        <v>51699</v>
      </c>
      <c r="H455" s="1353"/>
      <c r="I455" s="1353"/>
      <c r="J455" s="1354"/>
      <c r="K455" s="417"/>
    </row>
    <row r="456" spans="1:226" s="418" customFormat="1" ht="14.1" customHeight="1">
      <c r="A456" s="1809"/>
      <c r="B456" s="1827"/>
      <c r="C456" s="1818"/>
      <c r="D456" s="1818"/>
      <c r="E456" s="1352" t="s">
        <v>345</v>
      </c>
      <c r="F456" s="1353">
        <f t="shared" ref="F456:F459" si="45">SUM(G456:J456)</f>
        <v>680</v>
      </c>
      <c r="G456" s="1353">
        <v>680</v>
      </c>
      <c r="H456" s="1353"/>
      <c r="I456" s="1353"/>
      <c r="J456" s="1354"/>
      <c r="K456" s="416"/>
    </row>
    <row r="457" spans="1:226" s="418" customFormat="1" ht="14.1" customHeight="1">
      <c r="A457" s="1809"/>
      <c r="B457" s="1827"/>
      <c r="C457" s="1818"/>
      <c r="D457" s="1818"/>
      <c r="E457" s="1352" t="s">
        <v>346</v>
      </c>
      <c r="F457" s="1353">
        <f t="shared" si="45"/>
        <v>120</v>
      </c>
      <c r="G457" s="1353">
        <v>120</v>
      </c>
      <c r="H457" s="1353"/>
      <c r="I457" s="1353"/>
      <c r="J457" s="1354"/>
      <c r="K457" s="416"/>
    </row>
    <row r="458" spans="1:226" s="418" customFormat="1" ht="14.1" customHeight="1">
      <c r="A458" s="1809"/>
      <c r="B458" s="1827"/>
      <c r="C458" s="1818"/>
      <c r="D458" s="1818"/>
      <c r="E458" s="1352" t="s">
        <v>376</v>
      </c>
      <c r="F458" s="1353">
        <f t="shared" si="45"/>
        <v>1700</v>
      </c>
      <c r="G458" s="1353">
        <v>1700</v>
      </c>
      <c r="H458" s="1353"/>
      <c r="I458" s="1353"/>
      <c r="J458" s="1354"/>
      <c r="K458" s="416"/>
    </row>
    <row r="459" spans="1:226" s="418" customFormat="1" ht="14.1" customHeight="1">
      <c r="A459" s="1809"/>
      <c r="B459" s="1827"/>
      <c r="C459" s="1818"/>
      <c r="D459" s="1818"/>
      <c r="E459" s="1352" t="s">
        <v>377</v>
      </c>
      <c r="F459" s="1353">
        <f t="shared" si="45"/>
        <v>300</v>
      </c>
      <c r="G459" s="1353">
        <v>300</v>
      </c>
      <c r="H459" s="1353"/>
      <c r="I459" s="1353"/>
      <c r="J459" s="1354"/>
      <c r="K459" s="416"/>
    </row>
    <row r="460" spans="1:226" s="418" customFormat="1" ht="21" customHeight="1">
      <c r="A460" s="1809"/>
      <c r="B460" s="1827"/>
      <c r="C460" s="1818"/>
      <c r="D460" s="1818"/>
      <c r="E460" s="1355" t="s">
        <v>324</v>
      </c>
      <c r="F460" s="1347">
        <f>SUM(F461:F462)</f>
        <v>15000</v>
      </c>
      <c r="G460" s="1347">
        <f>SUM(G461:G462)</f>
        <v>15000</v>
      </c>
      <c r="H460" s="1347">
        <f>SUM(H461:H462)</f>
        <v>0</v>
      </c>
      <c r="I460" s="1347">
        <f>SUM(I461:I462)</f>
        <v>0</v>
      </c>
      <c r="J460" s="1348">
        <f>SUM(J461:J462)</f>
        <v>0</v>
      </c>
      <c r="K460" s="416"/>
    </row>
    <row r="461" spans="1:226" s="418" customFormat="1" ht="15" customHeight="1">
      <c r="A461" s="1809"/>
      <c r="B461" s="1827"/>
      <c r="C461" s="1818"/>
      <c r="D461" s="1818"/>
      <c r="E461" s="1212" t="s">
        <v>382</v>
      </c>
      <c r="F461" s="427">
        <f>SUM(G461:J461)</f>
        <v>12750</v>
      </c>
      <c r="G461" s="427">
        <v>12750</v>
      </c>
      <c r="H461" s="427"/>
      <c r="I461" s="427"/>
      <c r="J461" s="1382"/>
      <c r="K461" s="416"/>
    </row>
    <row r="462" spans="1:226" s="418" customFormat="1" ht="15" customHeight="1" thickBot="1">
      <c r="A462" s="1809"/>
      <c r="B462" s="1827"/>
      <c r="C462" s="1818"/>
      <c r="D462" s="1818"/>
      <c r="E462" s="1358">
        <v>6069</v>
      </c>
      <c r="F462" s="1359">
        <f>SUM(G462:J462)</f>
        <v>2250</v>
      </c>
      <c r="G462" s="1359">
        <v>2250</v>
      </c>
      <c r="H462" s="1359"/>
      <c r="I462" s="1359"/>
      <c r="J462" s="1360"/>
      <c r="K462" s="416"/>
    </row>
    <row r="463" spans="1:226" s="418" customFormat="1" ht="22.5">
      <c r="A463" s="1808" t="s">
        <v>459</v>
      </c>
      <c r="B463" s="1826" t="s">
        <v>460</v>
      </c>
      <c r="C463" s="1817" t="s">
        <v>4</v>
      </c>
      <c r="D463" s="1817" t="s">
        <v>3</v>
      </c>
      <c r="E463" s="1361" t="s">
        <v>322</v>
      </c>
      <c r="F463" s="1362">
        <f>SUM(F464,F476)</f>
        <v>15951</v>
      </c>
      <c r="G463" s="1362">
        <f>SUM(G464,G476)</f>
        <v>15951</v>
      </c>
      <c r="H463" s="1362">
        <f>SUM(H464,H476)</f>
        <v>0</v>
      </c>
      <c r="I463" s="1362">
        <f>SUM(I464,I476)</f>
        <v>0</v>
      </c>
      <c r="J463" s="1363">
        <f>SUM(J464,J476)</f>
        <v>0</v>
      </c>
      <c r="K463" s="416"/>
      <c r="L463" s="416"/>
      <c r="M463" s="416"/>
      <c r="N463" s="416"/>
      <c r="O463" s="416"/>
      <c r="P463" s="416"/>
      <c r="Q463" s="416"/>
      <c r="R463" s="416"/>
      <c r="S463" s="416"/>
      <c r="T463" s="416"/>
      <c r="U463" s="416"/>
      <c r="V463" s="416"/>
      <c r="W463" s="416"/>
      <c r="X463" s="416"/>
      <c r="Y463" s="416"/>
      <c r="Z463" s="416"/>
      <c r="AA463" s="416"/>
      <c r="AB463" s="416"/>
      <c r="AC463" s="416"/>
      <c r="AD463" s="416"/>
      <c r="AE463" s="416"/>
      <c r="AF463" s="416"/>
      <c r="AG463" s="416"/>
      <c r="AH463" s="416"/>
      <c r="AI463" s="416"/>
      <c r="AJ463" s="416"/>
      <c r="AK463" s="416"/>
      <c r="AL463" s="416"/>
      <c r="AM463" s="416"/>
      <c r="AN463" s="416"/>
      <c r="AO463" s="416"/>
      <c r="AP463" s="416"/>
      <c r="AQ463" s="416"/>
      <c r="AR463" s="416"/>
      <c r="AS463" s="416"/>
      <c r="AT463" s="416"/>
      <c r="AU463" s="416"/>
      <c r="AV463" s="416"/>
      <c r="AW463" s="416"/>
      <c r="AX463" s="416"/>
      <c r="AY463" s="416"/>
      <c r="AZ463" s="416"/>
      <c r="BA463" s="416"/>
      <c r="BB463" s="416"/>
      <c r="BC463" s="416"/>
      <c r="BD463" s="416"/>
      <c r="BE463" s="416"/>
      <c r="BF463" s="416"/>
      <c r="BG463" s="416"/>
      <c r="BH463" s="416"/>
      <c r="BI463" s="416"/>
      <c r="BJ463" s="416"/>
      <c r="BK463" s="416"/>
      <c r="BL463" s="416"/>
      <c r="BM463" s="416"/>
      <c r="BN463" s="416"/>
      <c r="BO463" s="416"/>
      <c r="BP463" s="416"/>
      <c r="BQ463" s="416"/>
      <c r="BR463" s="416"/>
      <c r="BS463" s="416"/>
      <c r="BT463" s="416"/>
      <c r="BU463" s="416"/>
      <c r="BV463" s="416"/>
      <c r="BW463" s="416"/>
      <c r="BX463" s="416"/>
      <c r="BY463" s="416"/>
      <c r="BZ463" s="416"/>
      <c r="CA463" s="416"/>
      <c r="CB463" s="416"/>
      <c r="CC463" s="416"/>
      <c r="CD463" s="416"/>
      <c r="CE463" s="416"/>
      <c r="CF463" s="416"/>
      <c r="CG463" s="416"/>
      <c r="CH463" s="416"/>
      <c r="CI463" s="416"/>
      <c r="CJ463" s="416"/>
      <c r="CK463" s="416"/>
      <c r="CL463" s="416"/>
      <c r="CM463" s="416"/>
      <c r="CN463" s="416"/>
      <c r="CO463" s="416"/>
      <c r="CP463" s="416"/>
      <c r="CQ463" s="416"/>
      <c r="CR463" s="416"/>
      <c r="CS463" s="416"/>
      <c r="CT463" s="416"/>
      <c r="CU463" s="416"/>
      <c r="CV463" s="416"/>
      <c r="CW463" s="416"/>
      <c r="CX463" s="416"/>
      <c r="CY463" s="416"/>
      <c r="CZ463" s="416"/>
      <c r="DA463" s="416"/>
      <c r="DB463" s="416"/>
      <c r="DC463" s="416"/>
      <c r="DD463" s="416"/>
      <c r="DE463" s="416"/>
      <c r="DF463" s="416"/>
      <c r="DG463" s="416"/>
      <c r="DH463" s="416"/>
      <c r="DI463" s="416"/>
      <c r="DJ463" s="416"/>
      <c r="DK463" s="416"/>
      <c r="DL463" s="416"/>
      <c r="DM463" s="416"/>
      <c r="DN463" s="416"/>
      <c r="DO463" s="416"/>
      <c r="DP463" s="416"/>
      <c r="DQ463" s="416"/>
      <c r="DR463" s="416"/>
      <c r="DS463" s="416"/>
      <c r="DT463" s="416"/>
      <c r="DU463" s="416"/>
      <c r="DV463" s="416"/>
      <c r="DW463" s="416"/>
      <c r="DX463" s="416"/>
      <c r="DY463" s="416"/>
      <c r="DZ463" s="416"/>
      <c r="EA463" s="416"/>
      <c r="EB463" s="416"/>
      <c r="EC463" s="416"/>
      <c r="ED463" s="416"/>
      <c r="EE463" s="416"/>
      <c r="EF463" s="416"/>
      <c r="EG463" s="416"/>
      <c r="EH463" s="416"/>
      <c r="EI463" s="416"/>
      <c r="EJ463" s="416"/>
      <c r="EK463" s="416"/>
      <c r="EL463" s="416"/>
      <c r="EM463" s="416"/>
      <c r="EN463" s="416"/>
      <c r="EO463" s="416"/>
      <c r="EP463" s="416"/>
      <c r="EQ463" s="416"/>
      <c r="ER463" s="416"/>
      <c r="ES463" s="416"/>
      <c r="ET463" s="416"/>
      <c r="EU463" s="416"/>
      <c r="EV463" s="416"/>
      <c r="EW463" s="416"/>
      <c r="EX463" s="416"/>
      <c r="EY463" s="416"/>
      <c r="EZ463" s="416"/>
      <c r="FA463" s="416"/>
      <c r="FB463" s="416"/>
      <c r="FC463" s="416"/>
      <c r="FD463" s="416"/>
      <c r="FE463" s="416"/>
      <c r="FF463" s="416"/>
      <c r="FG463" s="416"/>
      <c r="FH463" s="416"/>
      <c r="FI463" s="416"/>
      <c r="FJ463" s="416"/>
      <c r="FK463" s="416"/>
      <c r="FL463" s="416"/>
      <c r="FM463" s="416"/>
      <c r="FN463" s="416"/>
      <c r="FO463" s="416"/>
      <c r="FP463" s="416"/>
      <c r="FQ463" s="416"/>
      <c r="FR463" s="416"/>
      <c r="FS463" s="416"/>
      <c r="FT463" s="416"/>
      <c r="FU463" s="416"/>
      <c r="FV463" s="416"/>
      <c r="FW463" s="416"/>
      <c r="FX463" s="416"/>
      <c r="FY463" s="416"/>
      <c r="FZ463" s="416"/>
      <c r="GA463" s="416"/>
      <c r="GB463" s="416"/>
      <c r="GC463" s="416"/>
      <c r="GD463" s="416"/>
      <c r="GE463" s="416"/>
      <c r="GF463" s="416"/>
      <c r="GG463" s="416"/>
      <c r="GH463" s="416"/>
      <c r="GI463" s="416"/>
      <c r="GJ463" s="416"/>
      <c r="GK463" s="416"/>
      <c r="GL463" s="416"/>
      <c r="GM463" s="416"/>
      <c r="GN463" s="416"/>
      <c r="GO463" s="416"/>
      <c r="GP463" s="416"/>
      <c r="GQ463" s="416"/>
      <c r="GR463" s="416"/>
      <c r="GS463" s="416"/>
      <c r="GT463" s="416"/>
      <c r="GU463" s="416"/>
      <c r="GV463" s="416"/>
      <c r="GW463" s="416"/>
      <c r="GX463" s="416"/>
      <c r="GY463" s="416"/>
      <c r="GZ463" s="416"/>
      <c r="HA463" s="416"/>
      <c r="HB463" s="416"/>
      <c r="HC463" s="416"/>
      <c r="HD463" s="416"/>
      <c r="HE463" s="416"/>
      <c r="HF463" s="416"/>
      <c r="HG463" s="416"/>
      <c r="HH463" s="416"/>
      <c r="HI463" s="416"/>
      <c r="HJ463" s="416"/>
      <c r="HK463" s="416"/>
      <c r="HL463" s="416"/>
      <c r="HM463" s="416"/>
      <c r="HN463" s="416"/>
      <c r="HO463" s="416"/>
      <c r="HP463" s="416"/>
      <c r="HQ463" s="416"/>
      <c r="HR463" s="416"/>
    </row>
    <row r="464" spans="1:226" s="418" customFormat="1" ht="21">
      <c r="A464" s="1809"/>
      <c r="B464" s="1827"/>
      <c r="C464" s="1818"/>
      <c r="D464" s="1818"/>
      <c r="E464" s="1346" t="s">
        <v>334</v>
      </c>
      <c r="F464" s="1347">
        <f>SUM(F465,F472)</f>
        <v>15951</v>
      </c>
      <c r="G464" s="1347">
        <f>SUM(G465,G472)</f>
        <v>15951</v>
      </c>
      <c r="H464" s="1347">
        <f>SUM(H465,H472)</f>
        <v>0</v>
      </c>
      <c r="I464" s="1347">
        <f>SUM(I465,I472)</f>
        <v>0</v>
      </c>
      <c r="J464" s="1348">
        <f>SUM(J465,J472)</f>
        <v>0</v>
      </c>
      <c r="K464" s="416"/>
    </row>
    <row r="465" spans="1:226" s="418" customFormat="1" ht="24.95" customHeight="1">
      <c r="A465" s="1809"/>
      <c r="B465" s="1827"/>
      <c r="C465" s="1818"/>
      <c r="D465" s="1818"/>
      <c r="E465" s="1349" t="s">
        <v>335</v>
      </c>
      <c r="F465" s="1350">
        <f>SUM(F466:F471)</f>
        <v>15951</v>
      </c>
      <c r="G465" s="1350">
        <f>SUM(G466:G471)</f>
        <v>15951</v>
      </c>
      <c r="H465" s="1350">
        <f>SUM(H466:H471)</f>
        <v>0</v>
      </c>
      <c r="I465" s="1350">
        <f>SUM(I466:I471)</f>
        <v>0</v>
      </c>
      <c r="J465" s="1351">
        <f>SUM(J466:J471)</f>
        <v>0</v>
      </c>
      <c r="K465" s="416"/>
    </row>
    <row r="466" spans="1:226" s="418" customFormat="1" ht="15" customHeight="1">
      <c r="A466" s="1809"/>
      <c r="B466" s="1827"/>
      <c r="C466" s="1818"/>
      <c r="D466" s="1818"/>
      <c r="E466" s="1352" t="s">
        <v>362</v>
      </c>
      <c r="F466" s="1353">
        <f t="shared" ref="F466:F471" si="46">SUM(G466:J466)</f>
        <v>11315</v>
      </c>
      <c r="G466" s="1353">
        <v>11315</v>
      </c>
      <c r="H466" s="1353"/>
      <c r="I466" s="1353"/>
      <c r="J466" s="1354"/>
      <c r="K466" s="416"/>
    </row>
    <row r="467" spans="1:226" s="418" customFormat="1" ht="15" customHeight="1">
      <c r="A467" s="1809"/>
      <c r="B467" s="1827"/>
      <c r="C467" s="1818"/>
      <c r="D467" s="1818"/>
      <c r="E467" s="1352" t="s">
        <v>363</v>
      </c>
      <c r="F467" s="1353">
        <f t="shared" si="46"/>
        <v>1996</v>
      </c>
      <c r="G467" s="1353">
        <v>1996</v>
      </c>
      <c r="H467" s="1353"/>
      <c r="I467" s="1353"/>
      <c r="J467" s="1354"/>
      <c r="K467" s="416"/>
    </row>
    <row r="468" spans="1:226" s="418" customFormat="1" ht="15" customHeight="1">
      <c r="A468" s="1809"/>
      <c r="B468" s="1827"/>
      <c r="C468" s="1818"/>
      <c r="D468" s="1818"/>
      <c r="E468" s="1352" t="s">
        <v>336</v>
      </c>
      <c r="F468" s="1353">
        <f t="shared" si="46"/>
        <v>1967</v>
      </c>
      <c r="G468" s="1353">
        <v>1967</v>
      </c>
      <c r="H468" s="1353"/>
      <c r="I468" s="1353"/>
      <c r="J468" s="1354"/>
      <c r="K468" s="416"/>
    </row>
    <row r="469" spans="1:226" s="418" customFormat="1" ht="15" customHeight="1">
      <c r="A469" s="1809"/>
      <c r="B469" s="1827"/>
      <c r="C469" s="1818"/>
      <c r="D469" s="1818"/>
      <c r="E469" s="1352" t="s">
        <v>337</v>
      </c>
      <c r="F469" s="1353">
        <f t="shared" si="46"/>
        <v>347</v>
      </c>
      <c r="G469" s="1353">
        <v>347</v>
      </c>
      <c r="H469" s="1353"/>
      <c r="I469" s="1353"/>
      <c r="J469" s="1354"/>
      <c r="K469" s="416"/>
    </row>
    <row r="470" spans="1:226" s="418" customFormat="1" ht="15" customHeight="1">
      <c r="A470" s="1809"/>
      <c r="B470" s="1827"/>
      <c r="C470" s="1818"/>
      <c r="D470" s="1818"/>
      <c r="E470" s="1352" t="s">
        <v>366</v>
      </c>
      <c r="F470" s="1353">
        <f t="shared" si="46"/>
        <v>277</v>
      </c>
      <c r="G470" s="1353">
        <v>277</v>
      </c>
      <c r="H470" s="1353"/>
      <c r="I470" s="1353"/>
      <c r="J470" s="1354"/>
      <c r="K470" s="416"/>
    </row>
    <row r="471" spans="1:226" s="418" customFormat="1" ht="15" customHeight="1">
      <c r="A471" s="1809"/>
      <c r="B471" s="1827"/>
      <c r="C471" s="1818"/>
      <c r="D471" s="1818"/>
      <c r="E471" s="1352" t="s">
        <v>367</v>
      </c>
      <c r="F471" s="1353">
        <f t="shared" si="46"/>
        <v>49</v>
      </c>
      <c r="G471" s="1353">
        <v>49</v>
      </c>
      <c r="H471" s="1353"/>
      <c r="I471" s="1353"/>
      <c r="J471" s="1354"/>
      <c r="K471" s="416"/>
    </row>
    <row r="472" spans="1:226" s="418" customFormat="1" ht="24.95" hidden="1" customHeight="1">
      <c r="A472" s="1809"/>
      <c r="B472" s="1827"/>
      <c r="C472" s="1818"/>
      <c r="D472" s="1818"/>
      <c r="E472" s="1349" t="s">
        <v>340</v>
      </c>
      <c r="F472" s="1350">
        <f>SUM(F473:F475)</f>
        <v>0</v>
      </c>
      <c r="G472" s="1350">
        <f>SUM(G473:G475)</f>
        <v>0</v>
      </c>
      <c r="H472" s="1350">
        <f>SUM(H473:H475)</f>
        <v>0</v>
      </c>
      <c r="I472" s="1350">
        <f>SUM(I473:I475)</f>
        <v>0</v>
      </c>
      <c r="J472" s="1351">
        <f>SUM(J473:J475)</f>
        <v>0</v>
      </c>
      <c r="K472" s="417"/>
    </row>
    <row r="473" spans="1:226" s="418" customFormat="1" ht="15" hidden="1" customHeight="1">
      <c r="A473" s="1809"/>
      <c r="B473" s="1827"/>
      <c r="C473" s="1818"/>
      <c r="D473" s="1818"/>
      <c r="E473" s="1352"/>
      <c r="F473" s="1353">
        <f t="shared" ref="F473:F475" si="47">SUM(G473:J473)</f>
        <v>0</v>
      </c>
      <c r="G473" s="1353"/>
      <c r="H473" s="1353"/>
      <c r="I473" s="1353"/>
      <c r="J473" s="1354"/>
      <c r="K473" s="417"/>
    </row>
    <row r="474" spans="1:226" s="418" customFormat="1" ht="15" hidden="1" customHeight="1">
      <c r="A474" s="1809"/>
      <c r="B474" s="1827"/>
      <c r="C474" s="1818"/>
      <c r="D474" s="1818"/>
      <c r="E474" s="1352"/>
      <c r="F474" s="1353">
        <f t="shared" si="47"/>
        <v>0</v>
      </c>
      <c r="G474" s="1353"/>
      <c r="H474" s="1353"/>
      <c r="I474" s="1353"/>
      <c r="J474" s="1354"/>
      <c r="K474" s="417"/>
    </row>
    <row r="475" spans="1:226" s="418" customFormat="1" ht="15" hidden="1" customHeight="1">
      <c r="A475" s="1809"/>
      <c r="B475" s="1827"/>
      <c r="C475" s="1818"/>
      <c r="D475" s="1818"/>
      <c r="E475" s="1352"/>
      <c r="F475" s="1353">
        <f t="shared" si="47"/>
        <v>0</v>
      </c>
      <c r="G475" s="1353"/>
      <c r="H475" s="1353"/>
      <c r="I475" s="1353"/>
      <c r="J475" s="1354"/>
      <c r="K475" s="416"/>
    </row>
    <row r="476" spans="1:226" s="418" customFormat="1" ht="20.100000000000001" customHeight="1">
      <c r="A476" s="1809"/>
      <c r="B476" s="1827"/>
      <c r="C476" s="1818"/>
      <c r="D476" s="1818"/>
      <c r="E476" s="1355" t="s">
        <v>324</v>
      </c>
      <c r="F476" s="1347">
        <f>SUM(F477:F478)</f>
        <v>0</v>
      </c>
      <c r="G476" s="1347">
        <f>SUM(G477:G478)</f>
        <v>0</v>
      </c>
      <c r="H476" s="1347">
        <f>SUM(H477:H478)</f>
        <v>0</v>
      </c>
      <c r="I476" s="1347">
        <f>SUM(I477:I478)</f>
        <v>0</v>
      </c>
      <c r="J476" s="1348">
        <f>SUM(J477:J478)</f>
        <v>0</v>
      </c>
      <c r="K476" s="416"/>
    </row>
    <row r="477" spans="1:226" s="418" customFormat="1" ht="15" hidden="1" customHeight="1">
      <c r="A477" s="1809"/>
      <c r="B477" s="1827"/>
      <c r="C477" s="1818"/>
      <c r="D477" s="1818"/>
      <c r="E477" s="1212" t="s">
        <v>382</v>
      </c>
      <c r="F477" s="427">
        <f>SUM(G477:J477)</f>
        <v>0</v>
      </c>
      <c r="G477" s="427"/>
      <c r="H477" s="427"/>
      <c r="I477" s="427"/>
      <c r="J477" s="1382"/>
      <c r="K477" s="416"/>
    </row>
    <row r="478" spans="1:226" s="418" customFormat="1" ht="15" hidden="1" customHeight="1">
      <c r="A478" s="1810"/>
      <c r="B478" s="1828"/>
      <c r="C478" s="1819"/>
      <c r="D478" s="1819"/>
      <c r="E478" s="1356">
        <v>6069</v>
      </c>
      <c r="F478" s="1357">
        <f>SUM(G478:J478)</f>
        <v>0</v>
      </c>
      <c r="G478" s="1357"/>
      <c r="H478" s="1357"/>
      <c r="I478" s="1357"/>
      <c r="J478" s="1373"/>
      <c r="K478" s="416"/>
    </row>
    <row r="479" spans="1:226" s="418" customFormat="1" ht="22.5">
      <c r="A479" s="1809" t="s">
        <v>461</v>
      </c>
      <c r="B479" s="1827" t="s">
        <v>462</v>
      </c>
      <c r="C479" s="1818" t="s">
        <v>4</v>
      </c>
      <c r="D479" s="1818" t="s">
        <v>3</v>
      </c>
      <c r="E479" s="1340" t="s">
        <v>322</v>
      </c>
      <c r="F479" s="1341">
        <f>SUM(F480,F493)</f>
        <v>114988</v>
      </c>
      <c r="G479" s="1341">
        <f>SUM(G480,G493)</f>
        <v>114988</v>
      </c>
      <c r="H479" s="1341">
        <f>SUM(H480,H493)</f>
        <v>0</v>
      </c>
      <c r="I479" s="1341">
        <f>SUM(I480,I493)</f>
        <v>0</v>
      </c>
      <c r="J479" s="1342">
        <f>SUM(J480,J493)</f>
        <v>0</v>
      </c>
      <c r="K479" s="416"/>
      <c r="L479" s="416"/>
      <c r="M479" s="416"/>
      <c r="N479" s="416"/>
      <c r="O479" s="416"/>
      <c r="P479" s="416"/>
      <c r="Q479" s="416"/>
      <c r="R479" s="416"/>
      <c r="S479" s="416"/>
      <c r="T479" s="416"/>
      <c r="U479" s="416"/>
      <c r="V479" s="416"/>
      <c r="W479" s="416"/>
      <c r="X479" s="416"/>
      <c r="Y479" s="416"/>
      <c r="Z479" s="416"/>
      <c r="AA479" s="416"/>
      <c r="AB479" s="416"/>
      <c r="AC479" s="416"/>
      <c r="AD479" s="416"/>
      <c r="AE479" s="416"/>
      <c r="AF479" s="416"/>
      <c r="AG479" s="416"/>
      <c r="AH479" s="416"/>
      <c r="AI479" s="416"/>
      <c r="AJ479" s="416"/>
      <c r="AK479" s="416"/>
      <c r="AL479" s="416"/>
      <c r="AM479" s="416"/>
      <c r="AN479" s="416"/>
      <c r="AO479" s="416"/>
      <c r="AP479" s="416"/>
      <c r="AQ479" s="416"/>
      <c r="AR479" s="416"/>
      <c r="AS479" s="416"/>
      <c r="AT479" s="416"/>
      <c r="AU479" s="416"/>
      <c r="AV479" s="416"/>
      <c r="AW479" s="416"/>
      <c r="AX479" s="416"/>
      <c r="AY479" s="416"/>
      <c r="AZ479" s="416"/>
      <c r="BA479" s="416"/>
      <c r="BB479" s="416"/>
      <c r="BC479" s="416"/>
      <c r="BD479" s="416"/>
      <c r="BE479" s="416"/>
      <c r="BF479" s="416"/>
      <c r="BG479" s="416"/>
      <c r="BH479" s="416"/>
      <c r="BI479" s="416"/>
      <c r="BJ479" s="416"/>
      <c r="BK479" s="416"/>
      <c r="BL479" s="416"/>
      <c r="BM479" s="416"/>
      <c r="BN479" s="416"/>
      <c r="BO479" s="416"/>
      <c r="BP479" s="416"/>
      <c r="BQ479" s="416"/>
      <c r="BR479" s="416"/>
      <c r="BS479" s="416"/>
      <c r="BT479" s="416"/>
      <c r="BU479" s="416"/>
      <c r="BV479" s="416"/>
      <c r="BW479" s="416"/>
      <c r="BX479" s="416"/>
      <c r="BY479" s="416"/>
      <c r="BZ479" s="416"/>
      <c r="CA479" s="416"/>
      <c r="CB479" s="416"/>
      <c r="CC479" s="416"/>
      <c r="CD479" s="416"/>
      <c r="CE479" s="416"/>
      <c r="CF479" s="416"/>
      <c r="CG479" s="416"/>
      <c r="CH479" s="416"/>
      <c r="CI479" s="416"/>
      <c r="CJ479" s="416"/>
      <c r="CK479" s="416"/>
      <c r="CL479" s="416"/>
      <c r="CM479" s="416"/>
      <c r="CN479" s="416"/>
      <c r="CO479" s="416"/>
      <c r="CP479" s="416"/>
      <c r="CQ479" s="416"/>
      <c r="CR479" s="416"/>
      <c r="CS479" s="416"/>
      <c r="CT479" s="416"/>
      <c r="CU479" s="416"/>
      <c r="CV479" s="416"/>
      <c r="CW479" s="416"/>
      <c r="CX479" s="416"/>
      <c r="CY479" s="416"/>
      <c r="CZ479" s="416"/>
      <c r="DA479" s="416"/>
      <c r="DB479" s="416"/>
      <c r="DC479" s="416"/>
      <c r="DD479" s="416"/>
      <c r="DE479" s="416"/>
      <c r="DF479" s="416"/>
      <c r="DG479" s="416"/>
      <c r="DH479" s="416"/>
      <c r="DI479" s="416"/>
      <c r="DJ479" s="416"/>
      <c r="DK479" s="416"/>
      <c r="DL479" s="416"/>
      <c r="DM479" s="416"/>
      <c r="DN479" s="416"/>
      <c r="DO479" s="416"/>
      <c r="DP479" s="416"/>
      <c r="DQ479" s="416"/>
      <c r="DR479" s="416"/>
      <c r="DS479" s="416"/>
      <c r="DT479" s="416"/>
      <c r="DU479" s="416"/>
      <c r="DV479" s="416"/>
      <c r="DW479" s="416"/>
      <c r="DX479" s="416"/>
      <c r="DY479" s="416"/>
      <c r="DZ479" s="416"/>
      <c r="EA479" s="416"/>
      <c r="EB479" s="416"/>
      <c r="EC479" s="416"/>
      <c r="ED479" s="416"/>
      <c r="EE479" s="416"/>
      <c r="EF479" s="416"/>
      <c r="EG479" s="416"/>
      <c r="EH479" s="416"/>
      <c r="EI479" s="416"/>
      <c r="EJ479" s="416"/>
      <c r="EK479" s="416"/>
      <c r="EL479" s="416"/>
      <c r="EM479" s="416"/>
      <c r="EN479" s="416"/>
      <c r="EO479" s="416"/>
      <c r="EP479" s="416"/>
      <c r="EQ479" s="416"/>
      <c r="ER479" s="416"/>
      <c r="ES479" s="416"/>
      <c r="ET479" s="416"/>
      <c r="EU479" s="416"/>
      <c r="EV479" s="416"/>
      <c r="EW479" s="416"/>
      <c r="EX479" s="416"/>
      <c r="EY479" s="416"/>
      <c r="EZ479" s="416"/>
      <c r="FA479" s="416"/>
      <c r="FB479" s="416"/>
      <c r="FC479" s="416"/>
      <c r="FD479" s="416"/>
      <c r="FE479" s="416"/>
      <c r="FF479" s="416"/>
      <c r="FG479" s="416"/>
      <c r="FH479" s="416"/>
      <c r="FI479" s="416"/>
      <c r="FJ479" s="416"/>
      <c r="FK479" s="416"/>
      <c r="FL479" s="416"/>
      <c r="FM479" s="416"/>
      <c r="FN479" s="416"/>
      <c r="FO479" s="416"/>
      <c r="FP479" s="416"/>
      <c r="FQ479" s="416"/>
      <c r="FR479" s="416"/>
      <c r="FS479" s="416"/>
      <c r="FT479" s="416"/>
      <c r="FU479" s="416"/>
      <c r="FV479" s="416"/>
      <c r="FW479" s="416"/>
      <c r="FX479" s="416"/>
      <c r="FY479" s="416"/>
      <c r="FZ479" s="416"/>
      <c r="GA479" s="416"/>
      <c r="GB479" s="416"/>
      <c r="GC479" s="416"/>
      <c r="GD479" s="416"/>
      <c r="GE479" s="416"/>
      <c r="GF479" s="416"/>
      <c r="GG479" s="416"/>
      <c r="GH479" s="416"/>
      <c r="GI479" s="416"/>
      <c r="GJ479" s="416"/>
      <c r="GK479" s="416"/>
      <c r="GL479" s="416"/>
      <c r="GM479" s="416"/>
      <c r="GN479" s="416"/>
      <c r="GO479" s="416"/>
      <c r="GP479" s="416"/>
      <c r="GQ479" s="416"/>
      <c r="GR479" s="416"/>
      <c r="GS479" s="416"/>
      <c r="GT479" s="416"/>
      <c r="GU479" s="416"/>
      <c r="GV479" s="416"/>
      <c r="GW479" s="416"/>
      <c r="GX479" s="416"/>
      <c r="GY479" s="416"/>
      <c r="GZ479" s="416"/>
      <c r="HA479" s="416"/>
      <c r="HB479" s="416"/>
      <c r="HC479" s="416"/>
      <c r="HD479" s="416"/>
      <c r="HE479" s="416"/>
      <c r="HF479" s="416"/>
      <c r="HG479" s="416"/>
      <c r="HH479" s="416"/>
      <c r="HI479" s="416"/>
      <c r="HJ479" s="416"/>
      <c r="HK479" s="416"/>
      <c r="HL479" s="416"/>
      <c r="HM479" s="416"/>
      <c r="HN479" s="416"/>
      <c r="HO479" s="416"/>
      <c r="HP479" s="416"/>
      <c r="HQ479" s="416"/>
      <c r="HR479" s="416"/>
    </row>
    <row r="480" spans="1:226" s="418" customFormat="1" ht="21">
      <c r="A480" s="1809"/>
      <c r="B480" s="1827"/>
      <c r="C480" s="1818"/>
      <c r="D480" s="1818"/>
      <c r="E480" s="1346" t="s">
        <v>334</v>
      </c>
      <c r="F480" s="1347">
        <f>SUM(F481,F488)</f>
        <v>114988</v>
      </c>
      <c r="G480" s="1347">
        <f>SUM(G481,G488)</f>
        <v>114988</v>
      </c>
      <c r="H480" s="1347">
        <f>SUM(H481,H488)</f>
        <v>0</v>
      </c>
      <c r="I480" s="1347">
        <f>SUM(I481,I488)</f>
        <v>0</v>
      </c>
      <c r="J480" s="1348">
        <f>SUM(J481,J488)</f>
        <v>0</v>
      </c>
      <c r="K480" s="416"/>
    </row>
    <row r="481" spans="1:226" s="418" customFormat="1" ht="22.5">
      <c r="A481" s="1809"/>
      <c r="B481" s="1827"/>
      <c r="C481" s="1818"/>
      <c r="D481" s="1818"/>
      <c r="E481" s="1349" t="s">
        <v>335</v>
      </c>
      <c r="F481" s="1350">
        <f>SUM(F482:F487)</f>
        <v>13726</v>
      </c>
      <c r="G481" s="1350">
        <f>SUM(G482:G487)</f>
        <v>13726</v>
      </c>
      <c r="H481" s="1350">
        <f>SUM(H482:H487)</f>
        <v>0</v>
      </c>
      <c r="I481" s="1350">
        <f>SUM(I482:I487)</f>
        <v>0</v>
      </c>
      <c r="J481" s="1351">
        <f>SUM(J482:J487)</f>
        <v>0</v>
      </c>
      <c r="K481" s="416"/>
    </row>
    <row r="482" spans="1:226" s="418" customFormat="1" ht="15" customHeight="1">
      <c r="A482" s="1809"/>
      <c r="B482" s="1827"/>
      <c r="C482" s="1818"/>
      <c r="D482" s="1818"/>
      <c r="E482" s="1352" t="s">
        <v>362</v>
      </c>
      <c r="F482" s="1353">
        <f t="shared" ref="F482:F487" si="48">SUM(G482:J482)</f>
        <v>9736</v>
      </c>
      <c r="G482" s="1353">
        <v>9736</v>
      </c>
      <c r="H482" s="1353"/>
      <c r="I482" s="1353"/>
      <c r="J482" s="1354"/>
      <c r="K482" s="417"/>
    </row>
    <row r="483" spans="1:226" s="418" customFormat="1" ht="15" customHeight="1">
      <c r="A483" s="1809"/>
      <c r="B483" s="1827"/>
      <c r="C483" s="1818"/>
      <c r="D483" s="1818"/>
      <c r="E483" s="1352" t="s">
        <v>363</v>
      </c>
      <c r="F483" s="1353">
        <f t="shared" si="48"/>
        <v>1719</v>
      </c>
      <c r="G483" s="1353">
        <v>1719</v>
      </c>
      <c r="H483" s="1353"/>
      <c r="I483" s="1353"/>
      <c r="J483" s="1354"/>
      <c r="K483" s="416"/>
    </row>
    <row r="484" spans="1:226" s="418" customFormat="1" ht="15" customHeight="1">
      <c r="A484" s="1809"/>
      <c r="B484" s="1827"/>
      <c r="C484" s="1818"/>
      <c r="D484" s="1818"/>
      <c r="E484" s="1352" t="s">
        <v>336</v>
      </c>
      <c r="F484" s="1353">
        <f t="shared" si="48"/>
        <v>1692</v>
      </c>
      <c r="G484" s="1353">
        <v>1692</v>
      </c>
      <c r="H484" s="1353"/>
      <c r="I484" s="1353"/>
      <c r="J484" s="1354"/>
      <c r="K484" s="416"/>
    </row>
    <row r="485" spans="1:226" s="418" customFormat="1" ht="15" customHeight="1">
      <c r="A485" s="1809"/>
      <c r="B485" s="1827"/>
      <c r="C485" s="1818"/>
      <c r="D485" s="1818"/>
      <c r="E485" s="1352" t="s">
        <v>337</v>
      </c>
      <c r="F485" s="1353">
        <f t="shared" si="48"/>
        <v>299</v>
      </c>
      <c r="G485" s="1353">
        <v>299</v>
      </c>
      <c r="H485" s="1353"/>
      <c r="I485" s="1353"/>
      <c r="J485" s="1354"/>
      <c r="K485" s="416"/>
    </row>
    <row r="486" spans="1:226" s="418" customFormat="1" ht="15" customHeight="1">
      <c r="A486" s="1809"/>
      <c r="B486" s="1827"/>
      <c r="C486" s="1818"/>
      <c r="D486" s="1818"/>
      <c r="E486" s="1352" t="s">
        <v>366</v>
      </c>
      <c r="F486" s="1353">
        <f t="shared" si="48"/>
        <v>238</v>
      </c>
      <c r="G486" s="1353">
        <v>238</v>
      </c>
      <c r="H486" s="1353"/>
      <c r="I486" s="1353"/>
      <c r="J486" s="1354"/>
      <c r="K486" s="416"/>
    </row>
    <row r="487" spans="1:226" s="418" customFormat="1" ht="15" customHeight="1">
      <c r="A487" s="1809"/>
      <c r="B487" s="1827"/>
      <c r="C487" s="1818"/>
      <c r="D487" s="1818"/>
      <c r="E487" s="1352" t="s">
        <v>367</v>
      </c>
      <c r="F487" s="1353">
        <f t="shared" si="48"/>
        <v>42</v>
      </c>
      <c r="G487" s="1353">
        <v>42</v>
      </c>
      <c r="H487" s="1353"/>
      <c r="I487" s="1353"/>
      <c r="J487" s="1354"/>
      <c r="K487" s="416"/>
    </row>
    <row r="488" spans="1:226" s="418" customFormat="1" ht="22.5">
      <c r="A488" s="1809"/>
      <c r="B488" s="1827"/>
      <c r="C488" s="1818"/>
      <c r="D488" s="1818"/>
      <c r="E488" s="1349" t="s">
        <v>340</v>
      </c>
      <c r="F488" s="1350">
        <f>SUM(F489:F492)</f>
        <v>101262</v>
      </c>
      <c r="G488" s="1350">
        <f>SUM(G489:G492)</f>
        <v>101262</v>
      </c>
      <c r="H488" s="1350">
        <f>SUM(H489:H492)</f>
        <v>0</v>
      </c>
      <c r="I488" s="1350">
        <f>SUM(I489:I492)</f>
        <v>0</v>
      </c>
      <c r="J488" s="1351">
        <f>SUM(J489:J492)</f>
        <v>0</v>
      </c>
      <c r="K488" s="417"/>
    </row>
    <row r="489" spans="1:226" s="418" customFormat="1" ht="15" customHeight="1">
      <c r="A489" s="1809"/>
      <c r="B489" s="1827"/>
      <c r="C489" s="1818"/>
      <c r="D489" s="1818"/>
      <c r="E489" s="1352" t="s">
        <v>341</v>
      </c>
      <c r="F489" s="1353">
        <f t="shared" ref="F489:F492" si="49">SUM(G489:J489)</f>
        <v>38751</v>
      </c>
      <c r="G489" s="1353">
        <v>38751</v>
      </c>
      <c r="H489" s="1353"/>
      <c r="I489" s="1353"/>
      <c r="J489" s="1354"/>
      <c r="K489" s="417"/>
    </row>
    <row r="490" spans="1:226" s="418" customFormat="1" ht="15" customHeight="1">
      <c r="A490" s="1809"/>
      <c r="B490" s="1827"/>
      <c r="C490" s="1818"/>
      <c r="D490" s="1818"/>
      <c r="E490" s="1352" t="s">
        <v>342</v>
      </c>
      <c r="F490" s="1353">
        <f t="shared" si="49"/>
        <v>6838</v>
      </c>
      <c r="G490" s="1353">
        <v>6838</v>
      </c>
      <c r="H490" s="1353"/>
      <c r="I490" s="1353"/>
      <c r="J490" s="1354"/>
      <c r="K490" s="417"/>
    </row>
    <row r="491" spans="1:226" s="418" customFormat="1" ht="15" customHeight="1">
      <c r="A491" s="1809"/>
      <c r="B491" s="1827"/>
      <c r="C491" s="1818"/>
      <c r="D491" s="1818"/>
      <c r="E491" s="1352" t="s">
        <v>343</v>
      </c>
      <c r="F491" s="1353">
        <f t="shared" si="49"/>
        <v>47322</v>
      </c>
      <c r="G491" s="1353">
        <v>47322</v>
      </c>
      <c r="H491" s="1353"/>
      <c r="I491" s="1353"/>
      <c r="J491" s="1354"/>
      <c r="K491" s="416"/>
    </row>
    <row r="492" spans="1:226" s="418" customFormat="1" ht="15" customHeight="1">
      <c r="A492" s="1809"/>
      <c r="B492" s="1827"/>
      <c r="C492" s="1818"/>
      <c r="D492" s="1818"/>
      <c r="E492" s="1352" t="s">
        <v>344</v>
      </c>
      <c r="F492" s="1353">
        <f t="shared" si="49"/>
        <v>8351</v>
      </c>
      <c r="G492" s="1353">
        <v>8351</v>
      </c>
      <c r="H492" s="1353"/>
      <c r="I492" s="1353"/>
      <c r="J492" s="1354"/>
      <c r="K492" s="416"/>
    </row>
    <row r="493" spans="1:226" s="418" customFormat="1" ht="18.75" customHeight="1" thickBot="1">
      <c r="A493" s="1829"/>
      <c r="B493" s="1830"/>
      <c r="C493" s="1832"/>
      <c r="D493" s="1832"/>
      <c r="E493" s="1355" t="s">
        <v>324</v>
      </c>
      <c r="F493" s="1347">
        <f>SUM(F494:F495)</f>
        <v>0</v>
      </c>
      <c r="G493" s="1347">
        <f>SUM(G494:G495)</f>
        <v>0</v>
      </c>
      <c r="H493" s="1347">
        <f>SUM(H494:H495)</f>
        <v>0</v>
      </c>
      <c r="I493" s="1347">
        <f>SUM(I494:I495)</f>
        <v>0</v>
      </c>
      <c r="J493" s="1348">
        <f>SUM(J494:J495)</f>
        <v>0</v>
      </c>
      <c r="K493" s="416"/>
    </row>
    <row r="494" spans="1:226" s="418" customFormat="1" ht="15" hidden="1" customHeight="1">
      <c r="A494" s="426"/>
      <c r="B494" s="1378"/>
      <c r="C494" s="1369"/>
      <c r="D494" s="1369"/>
      <c r="E494" s="424" t="s">
        <v>382</v>
      </c>
      <c r="F494" s="425">
        <f>SUM(G494:J494)</f>
        <v>0</v>
      </c>
      <c r="G494" s="425"/>
      <c r="H494" s="425"/>
      <c r="I494" s="425"/>
      <c r="J494" s="1403"/>
      <c r="K494" s="416"/>
    </row>
    <row r="495" spans="1:226" s="418" customFormat="1" ht="15" hidden="1" customHeight="1">
      <c r="A495" s="426"/>
      <c r="B495" s="1378"/>
      <c r="C495" s="1369"/>
      <c r="D495" s="1369"/>
      <c r="E495" s="1379">
        <v>6069</v>
      </c>
      <c r="F495" s="1380">
        <f>SUM(G495:J495)</f>
        <v>0</v>
      </c>
      <c r="G495" s="1380"/>
      <c r="H495" s="1380"/>
      <c r="I495" s="1380"/>
      <c r="J495" s="1381"/>
      <c r="K495" s="416"/>
    </row>
    <row r="496" spans="1:226" s="418" customFormat="1" ht="22.5">
      <c r="A496" s="1808" t="s">
        <v>463</v>
      </c>
      <c r="B496" s="1826" t="s">
        <v>464</v>
      </c>
      <c r="C496" s="1817" t="s">
        <v>4</v>
      </c>
      <c r="D496" s="1817" t="s">
        <v>3</v>
      </c>
      <c r="E496" s="1361" t="s">
        <v>322</v>
      </c>
      <c r="F496" s="1362">
        <f>SUM(F497,F512)</f>
        <v>290796</v>
      </c>
      <c r="G496" s="1362">
        <f>SUM(G497,G512)</f>
        <v>290796</v>
      </c>
      <c r="H496" s="1362">
        <f>SUM(H497,H512)</f>
        <v>0</v>
      </c>
      <c r="I496" s="1362">
        <f>SUM(I497,I512)</f>
        <v>0</v>
      </c>
      <c r="J496" s="1363">
        <f>SUM(J497,J512)</f>
        <v>0</v>
      </c>
      <c r="K496" s="416"/>
      <c r="L496" s="416"/>
      <c r="M496" s="416"/>
      <c r="N496" s="416"/>
      <c r="O496" s="416"/>
      <c r="P496" s="416"/>
      <c r="Q496" s="416"/>
      <c r="R496" s="416"/>
      <c r="S496" s="416"/>
      <c r="T496" s="416"/>
      <c r="U496" s="416"/>
      <c r="V496" s="416"/>
      <c r="W496" s="416"/>
      <c r="X496" s="416"/>
      <c r="Y496" s="416"/>
      <c r="Z496" s="416"/>
      <c r="AA496" s="416"/>
      <c r="AB496" s="416"/>
      <c r="AC496" s="416"/>
      <c r="AD496" s="416"/>
      <c r="AE496" s="416"/>
      <c r="AF496" s="416"/>
      <c r="AG496" s="416"/>
      <c r="AH496" s="416"/>
      <c r="AI496" s="416"/>
      <c r="AJ496" s="416"/>
      <c r="AK496" s="416"/>
      <c r="AL496" s="416"/>
      <c r="AM496" s="416"/>
      <c r="AN496" s="416"/>
      <c r="AO496" s="416"/>
      <c r="AP496" s="416"/>
      <c r="AQ496" s="416"/>
      <c r="AR496" s="416"/>
      <c r="AS496" s="416"/>
      <c r="AT496" s="416"/>
      <c r="AU496" s="416"/>
      <c r="AV496" s="416"/>
      <c r="AW496" s="416"/>
      <c r="AX496" s="416"/>
      <c r="AY496" s="416"/>
      <c r="AZ496" s="416"/>
      <c r="BA496" s="416"/>
      <c r="BB496" s="416"/>
      <c r="BC496" s="416"/>
      <c r="BD496" s="416"/>
      <c r="BE496" s="416"/>
      <c r="BF496" s="416"/>
      <c r="BG496" s="416"/>
      <c r="BH496" s="416"/>
      <c r="BI496" s="416"/>
      <c r="BJ496" s="416"/>
      <c r="BK496" s="416"/>
      <c r="BL496" s="416"/>
      <c r="BM496" s="416"/>
      <c r="BN496" s="416"/>
      <c r="BO496" s="416"/>
      <c r="BP496" s="416"/>
      <c r="BQ496" s="416"/>
      <c r="BR496" s="416"/>
      <c r="BS496" s="416"/>
      <c r="BT496" s="416"/>
      <c r="BU496" s="416"/>
      <c r="BV496" s="416"/>
      <c r="BW496" s="416"/>
      <c r="BX496" s="416"/>
      <c r="BY496" s="416"/>
      <c r="BZ496" s="416"/>
      <c r="CA496" s="416"/>
      <c r="CB496" s="416"/>
      <c r="CC496" s="416"/>
      <c r="CD496" s="416"/>
      <c r="CE496" s="416"/>
      <c r="CF496" s="416"/>
      <c r="CG496" s="416"/>
      <c r="CH496" s="416"/>
      <c r="CI496" s="416"/>
      <c r="CJ496" s="416"/>
      <c r="CK496" s="416"/>
      <c r="CL496" s="416"/>
      <c r="CM496" s="416"/>
      <c r="CN496" s="416"/>
      <c r="CO496" s="416"/>
      <c r="CP496" s="416"/>
      <c r="CQ496" s="416"/>
      <c r="CR496" s="416"/>
      <c r="CS496" s="416"/>
      <c r="CT496" s="416"/>
      <c r="CU496" s="416"/>
      <c r="CV496" s="416"/>
      <c r="CW496" s="416"/>
      <c r="CX496" s="416"/>
      <c r="CY496" s="416"/>
      <c r="CZ496" s="416"/>
      <c r="DA496" s="416"/>
      <c r="DB496" s="416"/>
      <c r="DC496" s="416"/>
      <c r="DD496" s="416"/>
      <c r="DE496" s="416"/>
      <c r="DF496" s="416"/>
      <c r="DG496" s="416"/>
      <c r="DH496" s="416"/>
      <c r="DI496" s="416"/>
      <c r="DJ496" s="416"/>
      <c r="DK496" s="416"/>
      <c r="DL496" s="416"/>
      <c r="DM496" s="416"/>
      <c r="DN496" s="416"/>
      <c r="DO496" s="416"/>
      <c r="DP496" s="416"/>
      <c r="DQ496" s="416"/>
      <c r="DR496" s="416"/>
      <c r="DS496" s="416"/>
      <c r="DT496" s="416"/>
      <c r="DU496" s="416"/>
      <c r="DV496" s="416"/>
      <c r="DW496" s="416"/>
      <c r="DX496" s="416"/>
      <c r="DY496" s="416"/>
      <c r="DZ496" s="416"/>
      <c r="EA496" s="416"/>
      <c r="EB496" s="416"/>
      <c r="EC496" s="416"/>
      <c r="ED496" s="416"/>
      <c r="EE496" s="416"/>
      <c r="EF496" s="416"/>
      <c r="EG496" s="416"/>
      <c r="EH496" s="416"/>
      <c r="EI496" s="416"/>
      <c r="EJ496" s="416"/>
      <c r="EK496" s="416"/>
      <c r="EL496" s="416"/>
      <c r="EM496" s="416"/>
      <c r="EN496" s="416"/>
      <c r="EO496" s="416"/>
      <c r="EP496" s="416"/>
      <c r="EQ496" s="416"/>
      <c r="ER496" s="416"/>
      <c r="ES496" s="416"/>
      <c r="ET496" s="416"/>
      <c r="EU496" s="416"/>
      <c r="EV496" s="416"/>
      <c r="EW496" s="416"/>
      <c r="EX496" s="416"/>
      <c r="EY496" s="416"/>
      <c r="EZ496" s="416"/>
      <c r="FA496" s="416"/>
      <c r="FB496" s="416"/>
      <c r="FC496" s="416"/>
      <c r="FD496" s="416"/>
      <c r="FE496" s="416"/>
      <c r="FF496" s="416"/>
      <c r="FG496" s="416"/>
      <c r="FH496" s="416"/>
      <c r="FI496" s="416"/>
      <c r="FJ496" s="416"/>
      <c r="FK496" s="416"/>
      <c r="FL496" s="416"/>
      <c r="FM496" s="416"/>
      <c r="FN496" s="416"/>
      <c r="FO496" s="416"/>
      <c r="FP496" s="416"/>
      <c r="FQ496" s="416"/>
      <c r="FR496" s="416"/>
      <c r="FS496" s="416"/>
      <c r="FT496" s="416"/>
      <c r="FU496" s="416"/>
      <c r="FV496" s="416"/>
      <c r="FW496" s="416"/>
      <c r="FX496" s="416"/>
      <c r="FY496" s="416"/>
      <c r="FZ496" s="416"/>
      <c r="GA496" s="416"/>
      <c r="GB496" s="416"/>
      <c r="GC496" s="416"/>
      <c r="GD496" s="416"/>
      <c r="GE496" s="416"/>
      <c r="GF496" s="416"/>
      <c r="GG496" s="416"/>
      <c r="GH496" s="416"/>
      <c r="GI496" s="416"/>
      <c r="GJ496" s="416"/>
      <c r="GK496" s="416"/>
      <c r="GL496" s="416"/>
      <c r="GM496" s="416"/>
      <c r="GN496" s="416"/>
      <c r="GO496" s="416"/>
      <c r="GP496" s="416"/>
      <c r="GQ496" s="416"/>
      <c r="GR496" s="416"/>
      <c r="GS496" s="416"/>
      <c r="GT496" s="416"/>
      <c r="GU496" s="416"/>
      <c r="GV496" s="416"/>
      <c r="GW496" s="416"/>
      <c r="GX496" s="416"/>
      <c r="GY496" s="416"/>
      <c r="GZ496" s="416"/>
      <c r="HA496" s="416"/>
      <c r="HB496" s="416"/>
      <c r="HC496" s="416"/>
      <c r="HD496" s="416"/>
      <c r="HE496" s="416"/>
      <c r="HF496" s="416"/>
      <c r="HG496" s="416"/>
      <c r="HH496" s="416"/>
      <c r="HI496" s="416"/>
      <c r="HJ496" s="416"/>
      <c r="HK496" s="416"/>
      <c r="HL496" s="416"/>
      <c r="HM496" s="416"/>
      <c r="HN496" s="416"/>
      <c r="HO496" s="416"/>
      <c r="HP496" s="416"/>
      <c r="HQ496" s="416"/>
      <c r="HR496" s="416"/>
    </row>
    <row r="497" spans="1:11" s="418" customFormat="1" ht="21">
      <c r="A497" s="1809"/>
      <c r="B497" s="1827"/>
      <c r="C497" s="1818"/>
      <c r="D497" s="1818"/>
      <c r="E497" s="1346" t="s">
        <v>334</v>
      </c>
      <c r="F497" s="1347">
        <f>SUM(F498,F507)</f>
        <v>290796</v>
      </c>
      <c r="G497" s="1347">
        <f>SUM(G498,G507)</f>
        <v>290796</v>
      </c>
      <c r="H497" s="1347">
        <f>SUM(H498,H507)</f>
        <v>0</v>
      </c>
      <c r="I497" s="1347">
        <f>SUM(I498,I507)</f>
        <v>0</v>
      </c>
      <c r="J497" s="1348">
        <f>SUM(J498,J507)</f>
        <v>0</v>
      </c>
      <c r="K497" s="416"/>
    </row>
    <row r="498" spans="1:11" s="418" customFormat="1" ht="22.5">
      <c r="A498" s="1809"/>
      <c r="B498" s="1827"/>
      <c r="C498" s="1818"/>
      <c r="D498" s="1818"/>
      <c r="E498" s="1349" t="s">
        <v>335</v>
      </c>
      <c r="F498" s="1350">
        <f>SUM(F499:F506)</f>
        <v>48839</v>
      </c>
      <c r="G498" s="1350">
        <f>SUM(G499:G506)</f>
        <v>48839</v>
      </c>
      <c r="H498" s="1350">
        <f>SUM(H499:H506)</f>
        <v>0</v>
      </c>
      <c r="I498" s="1350">
        <f>SUM(I499:I506)</f>
        <v>0</v>
      </c>
      <c r="J498" s="1351">
        <f>SUM(J499:J506)</f>
        <v>0</v>
      </c>
      <c r="K498" s="416"/>
    </row>
    <row r="499" spans="1:11" s="418" customFormat="1" ht="14.1" customHeight="1">
      <c r="A499" s="1809"/>
      <c r="B499" s="1827"/>
      <c r="C499" s="1818"/>
      <c r="D499" s="1818"/>
      <c r="E499" s="1352" t="s">
        <v>362</v>
      </c>
      <c r="F499" s="1353">
        <f t="shared" ref="F499:F506" si="50">SUM(G499:J499)</f>
        <v>34644</v>
      </c>
      <c r="G499" s="1353">
        <v>34644</v>
      </c>
      <c r="H499" s="1353"/>
      <c r="I499" s="1353"/>
      <c r="J499" s="1354"/>
      <c r="K499" s="417"/>
    </row>
    <row r="500" spans="1:11" s="418" customFormat="1" ht="14.1" customHeight="1">
      <c r="A500" s="1809"/>
      <c r="B500" s="1827"/>
      <c r="C500" s="1818"/>
      <c r="D500" s="1818"/>
      <c r="E500" s="1352" t="s">
        <v>363</v>
      </c>
      <c r="F500" s="1353">
        <f t="shared" si="50"/>
        <v>6114</v>
      </c>
      <c r="G500" s="1353">
        <v>6114</v>
      </c>
      <c r="H500" s="1353"/>
      <c r="I500" s="1353"/>
      <c r="J500" s="1354"/>
      <c r="K500" s="416"/>
    </row>
    <row r="501" spans="1:11" s="418" customFormat="1" ht="14.1" customHeight="1">
      <c r="A501" s="1809"/>
      <c r="B501" s="1827"/>
      <c r="C501" s="1818"/>
      <c r="D501" s="1818"/>
      <c r="E501" s="1352" t="s">
        <v>336</v>
      </c>
      <c r="F501" s="1353">
        <f t="shared" si="50"/>
        <v>6021</v>
      </c>
      <c r="G501" s="1353">
        <v>6021</v>
      </c>
      <c r="H501" s="1353"/>
      <c r="I501" s="1353"/>
      <c r="J501" s="1354"/>
      <c r="K501" s="416"/>
    </row>
    <row r="502" spans="1:11" s="418" customFormat="1" ht="14.1" customHeight="1">
      <c r="A502" s="1809"/>
      <c r="B502" s="1827"/>
      <c r="C502" s="1818"/>
      <c r="D502" s="1818"/>
      <c r="E502" s="1352" t="s">
        <v>337</v>
      </c>
      <c r="F502" s="1353">
        <f t="shared" si="50"/>
        <v>1062</v>
      </c>
      <c r="G502" s="1353">
        <v>1062</v>
      </c>
      <c r="H502" s="1353"/>
      <c r="I502" s="1353"/>
      <c r="J502" s="1354"/>
      <c r="K502" s="416"/>
    </row>
    <row r="503" spans="1:11" s="418" customFormat="1" ht="14.1" customHeight="1">
      <c r="A503" s="1809"/>
      <c r="B503" s="1827"/>
      <c r="C503" s="1818"/>
      <c r="D503" s="1818"/>
      <c r="E503" s="1352" t="s">
        <v>366</v>
      </c>
      <c r="F503" s="1353">
        <f t="shared" si="50"/>
        <v>848</v>
      </c>
      <c r="G503" s="1353">
        <v>848</v>
      </c>
      <c r="H503" s="1353"/>
      <c r="I503" s="1353"/>
      <c r="J503" s="1354"/>
      <c r="K503" s="416"/>
    </row>
    <row r="504" spans="1:11" s="418" customFormat="1" ht="14.1" customHeight="1">
      <c r="A504" s="1809"/>
      <c r="B504" s="1827"/>
      <c r="C504" s="1818"/>
      <c r="D504" s="1818"/>
      <c r="E504" s="1352" t="s">
        <v>367</v>
      </c>
      <c r="F504" s="1353">
        <f t="shared" si="50"/>
        <v>150</v>
      </c>
      <c r="G504" s="1353">
        <v>150</v>
      </c>
      <c r="H504" s="1353"/>
      <c r="I504" s="1353"/>
      <c r="J504" s="1354"/>
      <c r="K504" s="416"/>
    </row>
    <row r="505" spans="1:11" s="418" customFormat="1" ht="15" hidden="1" customHeight="1">
      <c r="A505" s="1809"/>
      <c r="B505" s="1827"/>
      <c r="C505" s="1818"/>
      <c r="D505" s="1818"/>
      <c r="E505" s="1352" t="s">
        <v>338</v>
      </c>
      <c r="F505" s="1353">
        <f t="shared" si="50"/>
        <v>0</v>
      </c>
      <c r="G505" s="1353"/>
      <c r="H505" s="1353"/>
      <c r="I505" s="1353"/>
      <c r="J505" s="1354"/>
      <c r="K505" s="416"/>
    </row>
    <row r="506" spans="1:11" s="418" customFormat="1" ht="15" hidden="1" customHeight="1">
      <c r="A506" s="1809"/>
      <c r="B506" s="1827"/>
      <c r="C506" s="1818"/>
      <c r="D506" s="1818"/>
      <c r="E506" s="1352" t="s">
        <v>339</v>
      </c>
      <c r="F506" s="1353">
        <f t="shared" si="50"/>
        <v>0</v>
      </c>
      <c r="G506" s="1353"/>
      <c r="H506" s="1353"/>
      <c r="I506" s="1353"/>
      <c r="J506" s="1354"/>
      <c r="K506" s="416"/>
    </row>
    <row r="507" spans="1:11" s="418" customFormat="1" ht="22.5">
      <c r="A507" s="1809"/>
      <c r="B507" s="1827"/>
      <c r="C507" s="1818"/>
      <c r="D507" s="1818"/>
      <c r="E507" s="1349" t="s">
        <v>340</v>
      </c>
      <c r="F507" s="1350">
        <f>SUM(F508:F511)</f>
        <v>241957</v>
      </c>
      <c r="G507" s="1350">
        <f>SUM(G508:G511)</f>
        <v>241957</v>
      </c>
      <c r="H507" s="1350">
        <f>SUM(H508:H511)</f>
        <v>0</v>
      </c>
      <c r="I507" s="1350">
        <f>SUM(I508:I511)</f>
        <v>0</v>
      </c>
      <c r="J507" s="1351">
        <f>SUM(J508:J511)</f>
        <v>0</v>
      </c>
      <c r="K507" s="417"/>
    </row>
    <row r="508" spans="1:11" s="418" customFormat="1" ht="14.1" customHeight="1">
      <c r="A508" s="1809"/>
      <c r="B508" s="1827"/>
      <c r="C508" s="1818"/>
      <c r="D508" s="1818"/>
      <c r="E508" s="1352" t="s">
        <v>341</v>
      </c>
      <c r="F508" s="1353">
        <f t="shared" ref="F508:F511" si="51">SUM(G508:J508)</f>
        <v>8402</v>
      </c>
      <c r="G508" s="1353">
        <v>8402</v>
      </c>
      <c r="H508" s="1353"/>
      <c r="I508" s="1353"/>
      <c r="J508" s="1354"/>
      <c r="K508" s="417"/>
    </row>
    <row r="509" spans="1:11" s="418" customFormat="1" ht="14.1" customHeight="1">
      <c r="A509" s="1809"/>
      <c r="B509" s="1827"/>
      <c r="C509" s="1818"/>
      <c r="D509" s="1818"/>
      <c r="E509" s="1352" t="s">
        <v>342</v>
      </c>
      <c r="F509" s="1353">
        <f t="shared" si="51"/>
        <v>1483</v>
      </c>
      <c r="G509" s="1353">
        <v>1483</v>
      </c>
      <c r="H509" s="1353"/>
      <c r="I509" s="1353"/>
      <c r="J509" s="1354"/>
      <c r="K509" s="417"/>
    </row>
    <row r="510" spans="1:11" s="418" customFormat="1" ht="14.1" customHeight="1">
      <c r="A510" s="1809"/>
      <c r="B510" s="1827"/>
      <c r="C510" s="1818"/>
      <c r="D510" s="1818"/>
      <c r="E510" s="1352" t="s">
        <v>343</v>
      </c>
      <c r="F510" s="1353">
        <f t="shared" si="51"/>
        <v>197261</v>
      </c>
      <c r="G510" s="1353">
        <v>197261</v>
      </c>
      <c r="H510" s="1353"/>
      <c r="I510" s="1353"/>
      <c r="J510" s="1354"/>
      <c r="K510" s="416"/>
    </row>
    <row r="511" spans="1:11" s="418" customFormat="1" ht="14.1" customHeight="1">
      <c r="A511" s="1809"/>
      <c r="B511" s="1827"/>
      <c r="C511" s="1818"/>
      <c r="D511" s="1818"/>
      <c r="E511" s="1352" t="s">
        <v>344</v>
      </c>
      <c r="F511" s="1353">
        <f t="shared" si="51"/>
        <v>34811</v>
      </c>
      <c r="G511" s="1353">
        <v>34811</v>
      </c>
      <c r="H511" s="1353"/>
      <c r="I511" s="1353"/>
      <c r="J511" s="1354"/>
      <c r="K511" s="416"/>
    </row>
    <row r="512" spans="1:11" s="418" customFormat="1" ht="16.5" customHeight="1" thickBot="1">
      <c r="A512" s="1810"/>
      <c r="B512" s="1828"/>
      <c r="C512" s="1819"/>
      <c r="D512" s="1819"/>
      <c r="E512" s="1364" t="s">
        <v>324</v>
      </c>
      <c r="F512" s="1365">
        <f>SUM(F513:F514)</f>
        <v>0</v>
      </c>
      <c r="G512" s="1365">
        <f>SUM(G513:G514)</f>
        <v>0</v>
      </c>
      <c r="H512" s="1365">
        <f>SUM(H513:H514)</f>
        <v>0</v>
      </c>
      <c r="I512" s="1365">
        <f>SUM(I513:I514)</f>
        <v>0</v>
      </c>
      <c r="J512" s="1366">
        <f>SUM(J513:J514)</f>
        <v>0</v>
      </c>
      <c r="K512" s="416"/>
    </row>
    <row r="513" spans="1:226" s="418" customFormat="1" ht="15" hidden="1" customHeight="1">
      <c r="A513" s="426"/>
      <c r="B513" s="1378"/>
      <c r="C513" s="1369"/>
      <c r="D513" s="1369"/>
      <c r="E513" s="424" t="s">
        <v>382</v>
      </c>
      <c r="F513" s="425">
        <f>SUM(G513:J513)</f>
        <v>0</v>
      </c>
      <c r="G513" s="425"/>
      <c r="H513" s="425"/>
      <c r="I513" s="425"/>
      <c r="J513" s="1403"/>
      <c r="K513" s="416"/>
    </row>
    <row r="514" spans="1:226" s="418" customFormat="1" ht="15" hidden="1" customHeight="1">
      <c r="A514" s="420"/>
      <c r="B514" s="421"/>
      <c r="C514" s="423"/>
      <c r="D514" s="423"/>
      <c r="E514" s="1404">
        <v>6069</v>
      </c>
      <c r="F514" s="1405">
        <f>SUM(G514:J514)</f>
        <v>0</v>
      </c>
      <c r="G514" s="1405"/>
      <c r="H514" s="1405"/>
      <c r="I514" s="1405"/>
      <c r="J514" s="1406"/>
      <c r="K514" s="416"/>
    </row>
    <row r="515" spans="1:226" s="418" customFormat="1" ht="22.5">
      <c r="A515" s="1773" t="s">
        <v>465</v>
      </c>
      <c r="B515" s="1775" t="s">
        <v>466</v>
      </c>
      <c r="C515" s="1807" t="s">
        <v>4</v>
      </c>
      <c r="D515" s="1807" t="s">
        <v>271</v>
      </c>
      <c r="E515" s="1343" t="s">
        <v>322</v>
      </c>
      <c r="F515" s="1344">
        <f>SUM(F516,F535)</f>
        <v>98500</v>
      </c>
      <c r="G515" s="1344">
        <f>SUM(G516,G535)</f>
        <v>98500</v>
      </c>
      <c r="H515" s="1344">
        <f>SUM(H516,H535)</f>
        <v>0</v>
      </c>
      <c r="I515" s="1344">
        <f>SUM(I516,I535)</f>
        <v>0</v>
      </c>
      <c r="J515" s="1345">
        <f>SUM(J516,J535)</f>
        <v>0</v>
      </c>
      <c r="K515" s="416"/>
      <c r="L515" s="416"/>
      <c r="M515" s="416"/>
      <c r="N515" s="416"/>
      <c r="O515" s="416"/>
      <c r="P515" s="416"/>
      <c r="Q515" s="416"/>
      <c r="R515" s="416"/>
      <c r="S515" s="416"/>
      <c r="T515" s="416"/>
      <c r="U515" s="416"/>
      <c r="V515" s="416"/>
      <c r="W515" s="416"/>
      <c r="X515" s="416"/>
      <c r="Y515" s="416"/>
      <c r="Z515" s="416"/>
      <c r="AA515" s="416"/>
      <c r="AB515" s="416"/>
      <c r="AC515" s="416"/>
      <c r="AD515" s="416"/>
      <c r="AE515" s="416"/>
      <c r="AF515" s="416"/>
      <c r="AG515" s="416"/>
      <c r="AH515" s="416"/>
      <c r="AI515" s="416"/>
      <c r="AJ515" s="416"/>
      <c r="AK515" s="416"/>
      <c r="AL515" s="416"/>
      <c r="AM515" s="416"/>
      <c r="AN515" s="416"/>
      <c r="AO515" s="416"/>
      <c r="AP515" s="416"/>
      <c r="AQ515" s="416"/>
      <c r="AR515" s="416"/>
      <c r="AS515" s="416"/>
      <c r="AT515" s="416"/>
      <c r="AU515" s="416"/>
      <c r="AV515" s="416"/>
      <c r="AW515" s="416"/>
      <c r="AX515" s="416"/>
      <c r="AY515" s="416"/>
      <c r="AZ515" s="416"/>
      <c r="BA515" s="416"/>
      <c r="BB515" s="416"/>
      <c r="BC515" s="416"/>
      <c r="BD515" s="416"/>
      <c r="BE515" s="416"/>
      <c r="BF515" s="416"/>
      <c r="BG515" s="416"/>
      <c r="BH515" s="416"/>
      <c r="BI515" s="416"/>
      <c r="BJ515" s="416"/>
      <c r="BK515" s="416"/>
      <c r="BL515" s="416"/>
      <c r="BM515" s="416"/>
      <c r="BN515" s="416"/>
      <c r="BO515" s="416"/>
      <c r="BP515" s="416"/>
      <c r="BQ515" s="416"/>
      <c r="BR515" s="416"/>
      <c r="BS515" s="416"/>
      <c r="BT515" s="416"/>
      <c r="BU515" s="416"/>
      <c r="BV515" s="416"/>
      <c r="BW515" s="416"/>
      <c r="BX515" s="416"/>
      <c r="BY515" s="416"/>
      <c r="BZ515" s="416"/>
      <c r="CA515" s="416"/>
      <c r="CB515" s="416"/>
      <c r="CC515" s="416"/>
      <c r="CD515" s="416"/>
      <c r="CE515" s="416"/>
      <c r="CF515" s="416"/>
      <c r="CG515" s="416"/>
      <c r="CH515" s="416"/>
      <c r="CI515" s="416"/>
      <c r="CJ515" s="416"/>
      <c r="CK515" s="416"/>
      <c r="CL515" s="416"/>
      <c r="CM515" s="416"/>
      <c r="CN515" s="416"/>
      <c r="CO515" s="416"/>
      <c r="CP515" s="416"/>
      <c r="CQ515" s="416"/>
      <c r="CR515" s="416"/>
      <c r="CS515" s="416"/>
      <c r="CT515" s="416"/>
      <c r="CU515" s="416"/>
      <c r="CV515" s="416"/>
      <c r="CW515" s="416"/>
      <c r="CX515" s="416"/>
      <c r="CY515" s="416"/>
      <c r="CZ515" s="416"/>
      <c r="DA515" s="416"/>
      <c r="DB515" s="416"/>
      <c r="DC515" s="416"/>
      <c r="DD515" s="416"/>
      <c r="DE515" s="416"/>
      <c r="DF515" s="416"/>
      <c r="DG515" s="416"/>
      <c r="DH515" s="416"/>
      <c r="DI515" s="416"/>
      <c r="DJ515" s="416"/>
      <c r="DK515" s="416"/>
      <c r="DL515" s="416"/>
      <c r="DM515" s="416"/>
      <c r="DN515" s="416"/>
      <c r="DO515" s="416"/>
      <c r="DP515" s="416"/>
      <c r="DQ515" s="416"/>
      <c r="DR515" s="416"/>
      <c r="DS515" s="416"/>
      <c r="DT515" s="416"/>
      <c r="DU515" s="416"/>
      <c r="DV515" s="416"/>
      <c r="DW515" s="416"/>
      <c r="DX515" s="416"/>
      <c r="DY515" s="416"/>
      <c r="DZ515" s="416"/>
      <c r="EA515" s="416"/>
      <c r="EB515" s="416"/>
      <c r="EC515" s="416"/>
      <c r="ED515" s="416"/>
      <c r="EE515" s="416"/>
      <c r="EF515" s="416"/>
      <c r="EG515" s="416"/>
      <c r="EH515" s="416"/>
      <c r="EI515" s="416"/>
      <c r="EJ515" s="416"/>
      <c r="EK515" s="416"/>
      <c r="EL515" s="416"/>
      <c r="EM515" s="416"/>
      <c r="EN515" s="416"/>
      <c r="EO515" s="416"/>
      <c r="EP515" s="416"/>
      <c r="EQ515" s="416"/>
      <c r="ER515" s="416"/>
      <c r="ES515" s="416"/>
      <c r="ET515" s="416"/>
      <c r="EU515" s="416"/>
      <c r="EV515" s="416"/>
      <c r="EW515" s="416"/>
      <c r="EX515" s="416"/>
      <c r="EY515" s="416"/>
      <c r="EZ515" s="416"/>
      <c r="FA515" s="416"/>
      <c r="FB515" s="416"/>
      <c r="FC515" s="416"/>
      <c r="FD515" s="416"/>
      <c r="FE515" s="416"/>
      <c r="FF515" s="416"/>
      <c r="FG515" s="416"/>
      <c r="FH515" s="416"/>
      <c r="FI515" s="416"/>
      <c r="FJ515" s="416"/>
      <c r="FK515" s="416"/>
      <c r="FL515" s="416"/>
      <c r="FM515" s="416"/>
      <c r="FN515" s="416"/>
      <c r="FO515" s="416"/>
      <c r="FP515" s="416"/>
      <c r="FQ515" s="416"/>
      <c r="FR515" s="416"/>
      <c r="FS515" s="416"/>
      <c r="FT515" s="416"/>
      <c r="FU515" s="416"/>
      <c r="FV515" s="416"/>
      <c r="FW515" s="416"/>
      <c r="FX515" s="416"/>
      <c r="FY515" s="416"/>
      <c r="FZ515" s="416"/>
      <c r="GA515" s="416"/>
      <c r="GB515" s="416"/>
      <c r="GC515" s="416"/>
      <c r="GD515" s="416"/>
      <c r="GE515" s="416"/>
      <c r="GF515" s="416"/>
      <c r="GG515" s="416"/>
      <c r="GH515" s="416"/>
      <c r="GI515" s="416"/>
      <c r="GJ515" s="416"/>
      <c r="GK515" s="416"/>
      <c r="GL515" s="416"/>
      <c r="GM515" s="416"/>
      <c r="GN515" s="416"/>
      <c r="GO515" s="416"/>
      <c r="GP515" s="416"/>
      <c r="GQ515" s="416"/>
      <c r="GR515" s="416"/>
      <c r="GS515" s="416"/>
      <c r="GT515" s="416"/>
      <c r="GU515" s="416"/>
      <c r="GV515" s="416"/>
      <c r="GW515" s="416"/>
      <c r="GX515" s="416"/>
      <c r="GY515" s="416"/>
      <c r="GZ515" s="416"/>
      <c r="HA515" s="416"/>
      <c r="HB515" s="416"/>
      <c r="HC515" s="416"/>
      <c r="HD515" s="416"/>
      <c r="HE515" s="416"/>
      <c r="HF515" s="416"/>
      <c r="HG515" s="416"/>
      <c r="HH515" s="416"/>
      <c r="HI515" s="416"/>
      <c r="HJ515" s="416"/>
      <c r="HK515" s="416"/>
      <c r="HL515" s="416"/>
      <c r="HM515" s="416"/>
      <c r="HN515" s="416"/>
      <c r="HO515" s="416"/>
      <c r="HP515" s="416"/>
      <c r="HQ515" s="416"/>
      <c r="HR515" s="416"/>
    </row>
    <row r="516" spans="1:226" s="418" customFormat="1" ht="21">
      <c r="A516" s="1809"/>
      <c r="B516" s="1827"/>
      <c r="C516" s="1818"/>
      <c r="D516" s="1818"/>
      <c r="E516" s="1346" t="s">
        <v>334</v>
      </c>
      <c r="F516" s="1347">
        <f>SUM(F517,F524)</f>
        <v>98500</v>
      </c>
      <c r="G516" s="1347">
        <f>SUM(G517,G524)</f>
        <v>98500</v>
      </c>
      <c r="H516" s="1347">
        <f>SUM(H517,H524)</f>
        <v>0</v>
      </c>
      <c r="I516" s="1347">
        <f>SUM(I517,I524)</f>
        <v>0</v>
      </c>
      <c r="J516" s="1348">
        <f>SUM(J517,J524)</f>
        <v>0</v>
      </c>
      <c r="K516" s="416"/>
    </row>
    <row r="517" spans="1:226" s="418" customFormat="1" ht="22.5">
      <c r="A517" s="1809"/>
      <c r="B517" s="1827"/>
      <c r="C517" s="1818"/>
      <c r="D517" s="1818"/>
      <c r="E517" s="1349" t="s">
        <v>335</v>
      </c>
      <c r="F517" s="1350">
        <f>SUM(F518:F523)</f>
        <v>45500</v>
      </c>
      <c r="G517" s="1350">
        <f>SUM(G518:G523)</f>
        <v>45500</v>
      </c>
      <c r="H517" s="1350">
        <f>SUM(H518:H523)</f>
        <v>0</v>
      </c>
      <c r="I517" s="1350">
        <f>SUM(I518:I523)</f>
        <v>0</v>
      </c>
      <c r="J517" s="1351">
        <f>SUM(J518:J523)</f>
        <v>0</v>
      </c>
      <c r="K517" s="416"/>
    </row>
    <row r="518" spans="1:226" s="418" customFormat="1" ht="14.1" customHeight="1">
      <c r="A518" s="1809"/>
      <c r="B518" s="1827"/>
      <c r="C518" s="1818"/>
      <c r="D518" s="1818"/>
      <c r="E518" s="1352" t="s">
        <v>362</v>
      </c>
      <c r="F518" s="1353">
        <f t="shared" ref="F518:F523" si="52">SUM(G518:J518)</f>
        <v>32275</v>
      </c>
      <c r="G518" s="1353">
        <v>32275</v>
      </c>
      <c r="H518" s="1353"/>
      <c r="I518" s="1353"/>
      <c r="J518" s="1354"/>
      <c r="K518" s="417"/>
    </row>
    <row r="519" spans="1:226" s="418" customFormat="1" ht="14.1" customHeight="1">
      <c r="A519" s="1809"/>
      <c r="B519" s="1827"/>
      <c r="C519" s="1818"/>
      <c r="D519" s="1818"/>
      <c r="E519" s="1352" t="s">
        <v>363</v>
      </c>
      <c r="F519" s="1353">
        <f t="shared" si="52"/>
        <v>5696</v>
      </c>
      <c r="G519" s="1353">
        <v>5696</v>
      </c>
      <c r="H519" s="1353"/>
      <c r="I519" s="1353"/>
      <c r="J519" s="1354"/>
      <c r="K519" s="416"/>
    </row>
    <row r="520" spans="1:226" s="418" customFormat="1" ht="14.1" customHeight="1">
      <c r="A520" s="1809"/>
      <c r="B520" s="1827"/>
      <c r="C520" s="1818"/>
      <c r="D520" s="1818"/>
      <c r="E520" s="1352" t="s">
        <v>336</v>
      </c>
      <c r="F520" s="1353">
        <f t="shared" si="52"/>
        <v>5609</v>
      </c>
      <c r="G520" s="1353">
        <v>5609</v>
      </c>
      <c r="H520" s="1353"/>
      <c r="I520" s="1353"/>
      <c r="J520" s="1354"/>
      <c r="K520" s="416"/>
    </row>
    <row r="521" spans="1:226" s="418" customFormat="1" ht="14.1" customHeight="1">
      <c r="A521" s="1809"/>
      <c r="B521" s="1827"/>
      <c r="C521" s="1818"/>
      <c r="D521" s="1818"/>
      <c r="E521" s="1352" t="s">
        <v>337</v>
      </c>
      <c r="F521" s="1353">
        <f t="shared" si="52"/>
        <v>990</v>
      </c>
      <c r="G521" s="1353">
        <v>990</v>
      </c>
      <c r="H521" s="1353"/>
      <c r="I521" s="1353"/>
      <c r="J521" s="1354"/>
      <c r="K521" s="416"/>
    </row>
    <row r="522" spans="1:226" s="418" customFormat="1" ht="14.1" customHeight="1">
      <c r="A522" s="1809"/>
      <c r="B522" s="1827"/>
      <c r="C522" s="1818"/>
      <c r="D522" s="1818"/>
      <c r="E522" s="1352" t="s">
        <v>366</v>
      </c>
      <c r="F522" s="1353">
        <f t="shared" si="52"/>
        <v>791</v>
      </c>
      <c r="G522" s="1353">
        <v>791</v>
      </c>
      <c r="H522" s="1353"/>
      <c r="I522" s="1353"/>
      <c r="J522" s="1354"/>
      <c r="K522" s="416"/>
    </row>
    <row r="523" spans="1:226" s="418" customFormat="1" ht="14.1" customHeight="1">
      <c r="A523" s="1809"/>
      <c r="B523" s="1827"/>
      <c r="C523" s="1818"/>
      <c r="D523" s="1818"/>
      <c r="E523" s="1352" t="s">
        <v>367</v>
      </c>
      <c r="F523" s="1353">
        <f t="shared" si="52"/>
        <v>139</v>
      </c>
      <c r="G523" s="1353">
        <v>139</v>
      </c>
      <c r="H523" s="1353"/>
      <c r="I523" s="1353"/>
      <c r="J523" s="1354"/>
      <c r="K523" s="416"/>
    </row>
    <row r="524" spans="1:226" s="418" customFormat="1" ht="22.5">
      <c r="A524" s="1809"/>
      <c r="B524" s="1827"/>
      <c r="C524" s="1818"/>
      <c r="D524" s="1818"/>
      <c r="E524" s="1349" t="s">
        <v>340</v>
      </c>
      <c r="F524" s="1350">
        <f>SUM(F525:F534)</f>
        <v>53000</v>
      </c>
      <c r="G524" s="1350">
        <f>SUM(G525:G534)</f>
        <v>53000</v>
      </c>
      <c r="H524" s="1350">
        <f>SUM(H525:H534)</f>
        <v>0</v>
      </c>
      <c r="I524" s="1350">
        <f>SUM(I525:I534)</f>
        <v>0</v>
      </c>
      <c r="J524" s="1351">
        <f>SUM(J525:J534)</f>
        <v>0</v>
      </c>
      <c r="K524" s="416"/>
    </row>
    <row r="525" spans="1:226" s="418" customFormat="1" ht="14.1" customHeight="1">
      <c r="A525" s="1809"/>
      <c r="B525" s="1827"/>
      <c r="C525" s="1818"/>
      <c r="D525" s="1818"/>
      <c r="E525" s="1352" t="s">
        <v>341</v>
      </c>
      <c r="F525" s="1353">
        <f t="shared" ref="F525:F534" si="53">SUM(G525:J525)</f>
        <v>17000</v>
      </c>
      <c r="G525" s="1353">
        <v>17000</v>
      </c>
      <c r="H525" s="1353"/>
      <c r="I525" s="1353"/>
      <c r="J525" s="1354"/>
      <c r="K525" s="416"/>
    </row>
    <row r="526" spans="1:226" s="418" customFormat="1" ht="14.1" customHeight="1">
      <c r="A526" s="1809"/>
      <c r="B526" s="1827"/>
      <c r="C526" s="1818"/>
      <c r="D526" s="1818"/>
      <c r="E526" s="1352" t="s">
        <v>342</v>
      </c>
      <c r="F526" s="1353">
        <f t="shared" si="53"/>
        <v>3000</v>
      </c>
      <c r="G526" s="1353">
        <v>3000</v>
      </c>
      <c r="H526" s="1353"/>
      <c r="I526" s="1353"/>
      <c r="J526" s="1354"/>
      <c r="K526" s="416"/>
    </row>
    <row r="527" spans="1:226" s="418" customFormat="1" ht="14.1" customHeight="1">
      <c r="A527" s="1809"/>
      <c r="B527" s="1827"/>
      <c r="C527" s="1818"/>
      <c r="D527" s="1818"/>
      <c r="E527" s="1352" t="s">
        <v>343</v>
      </c>
      <c r="F527" s="1353">
        <f t="shared" si="53"/>
        <v>17850</v>
      </c>
      <c r="G527" s="1353">
        <v>17850</v>
      </c>
      <c r="H527" s="1353"/>
      <c r="I527" s="1353"/>
      <c r="J527" s="1354"/>
      <c r="K527" s="416"/>
    </row>
    <row r="528" spans="1:226" s="418" customFormat="1" ht="14.1" customHeight="1">
      <c r="A528" s="1809"/>
      <c r="B528" s="1827"/>
      <c r="C528" s="1818"/>
      <c r="D528" s="1818"/>
      <c r="E528" s="1352" t="s">
        <v>344</v>
      </c>
      <c r="F528" s="1353">
        <f t="shared" si="53"/>
        <v>3150</v>
      </c>
      <c r="G528" s="1353">
        <v>3150</v>
      </c>
      <c r="H528" s="1353"/>
      <c r="I528" s="1353"/>
      <c r="J528" s="1354"/>
      <c r="K528" s="416"/>
    </row>
    <row r="529" spans="1:226" s="418" customFormat="1" ht="14.1" customHeight="1">
      <c r="A529" s="1809"/>
      <c r="B529" s="1827"/>
      <c r="C529" s="1818"/>
      <c r="D529" s="1818"/>
      <c r="E529" s="1352" t="s">
        <v>358</v>
      </c>
      <c r="F529" s="1353">
        <f t="shared" si="53"/>
        <v>2550</v>
      </c>
      <c r="G529" s="1353">
        <v>2550</v>
      </c>
      <c r="H529" s="1353"/>
      <c r="I529" s="1353"/>
      <c r="J529" s="1354"/>
      <c r="K529" s="416"/>
    </row>
    <row r="530" spans="1:226" s="418" customFormat="1" ht="14.1" customHeight="1">
      <c r="A530" s="1809"/>
      <c r="B530" s="1827"/>
      <c r="C530" s="1818"/>
      <c r="D530" s="1818"/>
      <c r="E530" s="1352" t="s">
        <v>359</v>
      </c>
      <c r="F530" s="1353">
        <f t="shared" si="53"/>
        <v>450</v>
      </c>
      <c r="G530" s="1353">
        <v>450</v>
      </c>
      <c r="H530" s="1353"/>
      <c r="I530" s="1353"/>
      <c r="J530" s="1354"/>
      <c r="K530" s="416"/>
    </row>
    <row r="531" spans="1:226" s="418" customFormat="1" ht="14.1" customHeight="1">
      <c r="A531" s="1809"/>
      <c r="B531" s="1827"/>
      <c r="C531" s="1818"/>
      <c r="D531" s="1818"/>
      <c r="E531" s="1352" t="s">
        <v>345</v>
      </c>
      <c r="F531" s="1353">
        <f t="shared" si="53"/>
        <v>3400</v>
      </c>
      <c r="G531" s="1353">
        <v>3400</v>
      </c>
      <c r="H531" s="1353"/>
      <c r="I531" s="1353"/>
      <c r="J531" s="1354"/>
      <c r="K531" s="416"/>
    </row>
    <row r="532" spans="1:226" s="418" customFormat="1" ht="14.1" customHeight="1">
      <c r="A532" s="1809"/>
      <c r="B532" s="1827"/>
      <c r="C532" s="1818"/>
      <c r="D532" s="1818"/>
      <c r="E532" s="1352" t="s">
        <v>346</v>
      </c>
      <c r="F532" s="1353">
        <f t="shared" si="53"/>
        <v>600</v>
      </c>
      <c r="G532" s="1353">
        <v>600</v>
      </c>
      <c r="H532" s="1353"/>
      <c r="I532" s="1353"/>
      <c r="J532" s="1354"/>
      <c r="K532" s="416"/>
    </row>
    <row r="533" spans="1:226" s="418" customFormat="1" ht="14.1" customHeight="1">
      <c r="A533" s="1809"/>
      <c r="B533" s="1827"/>
      <c r="C533" s="1818"/>
      <c r="D533" s="1818"/>
      <c r="E533" s="1352" t="s">
        <v>376</v>
      </c>
      <c r="F533" s="1353">
        <f t="shared" si="53"/>
        <v>4250</v>
      </c>
      <c r="G533" s="1353">
        <v>4250</v>
      </c>
      <c r="H533" s="1353"/>
      <c r="I533" s="1353"/>
      <c r="J533" s="1354"/>
      <c r="K533" s="416"/>
    </row>
    <row r="534" spans="1:226" s="418" customFormat="1" ht="14.1" customHeight="1">
      <c r="A534" s="1809"/>
      <c r="B534" s="1827"/>
      <c r="C534" s="1818"/>
      <c r="D534" s="1818"/>
      <c r="E534" s="1352" t="s">
        <v>377</v>
      </c>
      <c r="F534" s="1353">
        <f t="shared" si="53"/>
        <v>750</v>
      </c>
      <c r="G534" s="1353">
        <v>750</v>
      </c>
      <c r="H534" s="1353"/>
      <c r="I534" s="1353"/>
      <c r="J534" s="1354"/>
      <c r="K534" s="416"/>
    </row>
    <row r="535" spans="1:226" s="418" customFormat="1" ht="20.25" customHeight="1" thickBot="1">
      <c r="A535" s="1829"/>
      <c r="B535" s="1830"/>
      <c r="C535" s="1832"/>
      <c r="D535" s="1832"/>
      <c r="E535" s="1355" t="s">
        <v>324</v>
      </c>
      <c r="F535" s="1347">
        <f>SUM(F536:F537)</f>
        <v>0</v>
      </c>
      <c r="G535" s="1347">
        <f>SUM(G536:G537)</f>
        <v>0</v>
      </c>
      <c r="H535" s="1347">
        <f>SUM(H536:H537)</f>
        <v>0</v>
      </c>
      <c r="I535" s="1347">
        <f>SUM(I536:I537)</f>
        <v>0</v>
      </c>
      <c r="J535" s="1348">
        <f>SUM(J536:J537)</f>
        <v>0</v>
      </c>
      <c r="K535" s="416"/>
    </row>
    <row r="536" spans="1:226" s="418" customFormat="1" ht="15" hidden="1" customHeight="1">
      <c r="A536" s="426"/>
      <c r="B536" s="1378"/>
      <c r="C536" s="1369"/>
      <c r="D536" s="1369"/>
      <c r="E536" s="424" t="s">
        <v>382</v>
      </c>
      <c r="F536" s="425">
        <f>SUM(G536:J536)</f>
        <v>0</v>
      </c>
      <c r="G536" s="425"/>
      <c r="H536" s="425"/>
      <c r="I536" s="425"/>
      <c r="J536" s="1403"/>
      <c r="K536" s="416"/>
    </row>
    <row r="537" spans="1:226" s="418" customFormat="1" ht="15" hidden="1" customHeight="1">
      <c r="A537" s="426"/>
      <c r="B537" s="1378"/>
      <c r="C537" s="1369"/>
      <c r="D537" s="1369"/>
      <c r="E537" s="1379">
        <v>6069</v>
      </c>
      <c r="F537" s="1380">
        <f>SUM(G537:J537)</f>
        <v>0</v>
      </c>
      <c r="G537" s="1380"/>
      <c r="H537" s="1380"/>
      <c r="I537" s="1380"/>
      <c r="J537" s="1381"/>
      <c r="K537" s="416"/>
    </row>
    <row r="538" spans="1:226" s="418" customFormat="1" ht="22.5" customHeight="1">
      <c r="A538" s="1808" t="s">
        <v>467</v>
      </c>
      <c r="B538" s="1826" t="s">
        <v>468</v>
      </c>
      <c r="C538" s="1817" t="s">
        <v>273</v>
      </c>
      <c r="D538" s="1817" t="s">
        <v>275</v>
      </c>
      <c r="E538" s="1361" t="s">
        <v>322</v>
      </c>
      <c r="F538" s="1362">
        <f>SUM(F539,F548)</f>
        <v>268000</v>
      </c>
      <c r="G538" s="1362">
        <f>SUM(G539,G548)</f>
        <v>268000</v>
      </c>
      <c r="H538" s="1362">
        <f>SUM(H539,H548)</f>
        <v>0</v>
      </c>
      <c r="I538" s="1362">
        <f>SUM(I539,I548)</f>
        <v>0</v>
      </c>
      <c r="J538" s="1363">
        <f>SUM(J539,J548)</f>
        <v>0</v>
      </c>
      <c r="K538" s="416"/>
      <c r="L538" s="416"/>
      <c r="M538" s="416"/>
      <c r="N538" s="416"/>
      <c r="O538" s="416"/>
      <c r="P538" s="416"/>
      <c r="Q538" s="416"/>
      <c r="R538" s="416"/>
      <c r="S538" s="416"/>
      <c r="T538" s="416"/>
      <c r="U538" s="416"/>
      <c r="V538" s="416"/>
      <c r="W538" s="416"/>
      <c r="X538" s="416"/>
      <c r="Y538" s="416"/>
      <c r="Z538" s="416"/>
      <c r="AA538" s="416"/>
      <c r="AB538" s="416"/>
      <c r="AC538" s="416"/>
      <c r="AD538" s="416"/>
      <c r="AE538" s="416"/>
      <c r="AF538" s="416"/>
      <c r="AG538" s="416"/>
      <c r="AH538" s="416"/>
      <c r="AI538" s="416"/>
      <c r="AJ538" s="416"/>
      <c r="AK538" s="416"/>
      <c r="AL538" s="416"/>
      <c r="AM538" s="416"/>
      <c r="AN538" s="416"/>
      <c r="AO538" s="416"/>
      <c r="AP538" s="416"/>
      <c r="AQ538" s="416"/>
      <c r="AR538" s="416"/>
      <c r="AS538" s="416"/>
      <c r="AT538" s="416"/>
      <c r="AU538" s="416"/>
      <c r="AV538" s="416"/>
      <c r="AW538" s="416"/>
      <c r="AX538" s="416"/>
      <c r="AY538" s="416"/>
      <c r="AZ538" s="416"/>
      <c r="BA538" s="416"/>
      <c r="BB538" s="416"/>
      <c r="BC538" s="416"/>
      <c r="BD538" s="416"/>
      <c r="BE538" s="416"/>
      <c r="BF538" s="416"/>
      <c r="BG538" s="416"/>
      <c r="BH538" s="416"/>
      <c r="BI538" s="416"/>
      <c r="BJ538" s="416"/>
      <c r="BK538" s="416"/>
      <c r="BL538" s="416"/>
      <c r="BM538" s="416"/>
      <c r="BN538" s="416"/>
      <c r="BO538" s="416"/>
      <c r="BP538" s="416"/>
      <c r="BQ538" s="416"/>
      <c r="BR538" s="416"/>
      <c r="BS538" s="416"/>
      <c r="BT538" s="416"/>
      <c r="BU538" s="416"/>
      <c r="BV538" s="416"/>
      <c r="BW538" s="416"/>
      <c r="BX538" s="416"/>
      <c r="BY538" s="416"/>
      <c r="BZ538" s="416"/>
      <c r="CA538" s="416"/>
      <c r="CB538" s="416"/>
      <c r="CC538" s="416"/>
      <c r="CD538" s="416"/>
      <c r="CE538" s="416"/>
      <c r="CF538" s="416"/>
      <c r="CG538" s="416"/>
      <c r="CH538" s="416"/>
      <c r="CI538" s="416"/>
      <c r="CJ538" s="416"/>
      <c r="CK538" s="416"/>
      <c r="CL538" s="416"/>
      <c r="CM538" s="416"/>
      <c r="CN538" s="416"/>
      <c r="CO538" s="416"/>
      <c r="CP538" s="416"/>
      <c r="CQ538" s="416"/>
      <c r="CR538" s="416"/>
      <c r="CS538" s="416"/>
      <c r="CT538" s="416"/>
      <c r="CU538" s="416"/>
      <c r="CV538" s="416"/>
      <c r="CW538" s="416"/>
      <c r="CX538" s="416"/>
      <c r="CY538" s="416"/>
      <c r="CZ538" s="416"/>
      <c r="DA538" s="416"/>
      <c r="DB538" s="416"/>
      <c r="DC538" s="416"/>
      <c r="DD538" s="416"/>
      <c r="DE538" s="416"/>
      <c r="DF538" s="416"/>
      <c r="DG538" s="416"/>
      <c r="DH538" s="416"/>
      <c r="DI538" s="416"/>
      <c r="DJ538" s="416"/>
      <c r="DK538" s="416"/>
      <c r="DL538" s="416"/>
      <c r="DM538" s="416"/>
      <c r="DN538" s="416"/>
      <c r="DO538" s="416"/>
      <c r="DP538" s="416"/>
      <c r="DQ538" s="416"/>
      <c r="DR538" s="416"/>
      <c r="DS538" s="416"/>
      <c r="DT538" s="416"/>
      <c r="DU538" s="416"/>
      <c r="DV538" s="416"/>
      <c r="DW538" s="416"/>
      <c r="DX538" s="416"/>
      <c r="DY538" s="416"/>
      <c r="DZ538" s="416"/>
      <c r="EA538" s="416"/>
      <c r="EB538" s="416"/>
      <c r="EC538" s="416"/>
      <c r="ED538" s="416"/>
      <c r="EE538" s="416"/>
      <c r="EF538" s="416"/>
      <c r="EG538" s="416"/>
      <c r="EH538" s="416"/>
      <c r="EI538" s="416"/>
      <c r="EJ538" s="416"/>
      <c r="EK538" s="416"/>
      <c r="EL538" s="416"/>
      <c r="EM538" s="416"/>
      <c r="EN538" s="416"/>
      <c r="EO538" s="416"/>
      <c r="EP538" s="416"/>
      <c r="EQ538" s="416"/>
      <c r="ER538" s="416"/>
      <c r="ES538" s="416"/>
      <c r="ET538" s="416"/>
      <c r="EU538" s="416"/>
      <c r="EV538" s="416"/>
      <c r="EW538" s="416"/>
      <c r="EX538" s="416"/>
      <c r="EY538" s="416"/>
      <c r="EZ538" s="416"/>
      <c r="FA538" s="416"/>
      <c r="FB538" s="416"/>
      <c r="FC538" s="416"/>
      <c r="FD538" s="416"/>
      <c r="FE538" s="416"/>
      <c r="FF538" s="416"/>
      <c r="FG538" s="416"/>
      <c r="FH538" s="416"/>
      <c r="FI538" s="416"/>
      <c r="FJ538" s="416"/>
      <c r="FK538" s="416"/>
      <c r="FL538" s="416"/>
      <c r="FM538" s="416"/>
      <c r="FN538" s="416"/>
      <c r="FO538" s="416"/>
      <c r="FP538" s="416"/>
      <c r="FQ538" s="416"/>
      <c r="FR538" s="416"/>
      <c r="FS538" s="416"/>
      <c r="FT538" s="416"/>
      <c r="FU538" s="416"/>
      <c r="FV538" s="416"/>
      <c r="FW538" s="416"/>
      <c r="FX538" s="416"/>
      <c r="FY538" s="416"/>
      <c r="FZ538" s="416"/>
      <c r="GA538" s="416"/>
      <c r="GB538" s="416"/>
      <c r="GC538" s="416"/>
      <c r="GD538" s="416"/>
      <c r="GE538" s="416"/>
      <c r="GF538" s="416"/>
      <c r="GG538" s="416"/>
      <c r="GH538" s="416"/>
      <c r="GI538" s="416"/>
      <c r="GJ538" s="416"/>
      <c r="GK538" s="416"/>
      <c r="GL538" s="416"/>
      <c r="GM538" s="416"/>
      <c r="GN538" s="416"/>
      <c r="GO538" s="416"/>
      <c r="GP538" s="416"/>
      <c r="GQ538" s="416"/>
      <c r="GR538" s="416"/>
      <c r="GS538" s="416"/>
      <c r="GT538" s="416"/>
      <c r="GU538" s="416"/>
      <c r="GV538" s="416"/>
      <c r="GW538" s="416"/>
      <c r="GX538" s="416"/>
      <c r="GY538" s="416"/>
      <c r="GZ538" s="416"/>
      <c r="HA538" s="416"/>
      <c r="HB538" s="416"/>
      <c r="HC538" s="416"/>
      <c r="HD538" s="416"/>
      <c r="HE538" s="416"/>
      <c r="HF538" s="416"/>
      <c r="HG538" s="416"/>
      <c r="HH538" s="416"/>
      <c r="HI538" s="416"/>
      <c r="HJ538" s="416"/>
      <c r="HK538" s="416"/>
      <c r="HL538" s="416"/>
      <c r="HM538" s="416"/>
      <c r="HN538" s="416"/>
      <c r="HO538" s="416"/>
      <c r="HP538" s="416"/>
      <c r="HQ538" s="416"/>
      <c r="HR538" s="416"/>
    </row>
    <row r="539" spans="1:226" s="418" customFormat="1" ht="21">
      <c r="A539" s="1809"/>
      <c r="B539" s="1827"/>
      <c r="C539" s="1818"/>
      <c r="D539" s="1818"/>
      <c r="E539" s="1346" t="s">
        <v>334</v>
      </c>
      <c r="F539" s="1347">
        <f>SUM(F540,F544)</f>
        <v>0</v>
      </c>
      <c r="G539" s="1347">
        <f>SUM(G540,G544)</f>
        <v>0</v>
      </c>
      <c r="H539" s="1347">
        <f>SUM(H540,H544)</f>
        <v>0</v>
      </c>
      <c r="I539" s="1347">
        <f>SUM(I540,I544)</f>
        <v>0</v>
      </c>
      <c r="J539" s="1348">
        <f>SUM(J540,J544)</f>
        <v>0</v>
      </c>
      <c r="K539" s="416"/>
    </row>
    <row r="540" spans="1:226" s="418" customFormat="1" ht="22.5" hidden="1">
      <c r="A540" s="1809"/>
      <c r="B540" s="1827"/>
      <c r="C540" s="1818"/>
      <c r="D540" s="1818"/>
      <c r="E540" s="1349" t="s">
        <v>335</v>
      </c>
      <c r="F540" s="1350">
        <f>SUM(F541:F543)</f>
        <v>0</v>
      </c>
      <c r="G540" s="1350">
        <f>SUM(G541:G543)</f>
        <v>0</v>
      </c>
      <c r="H540" s="1350">
        <f>SUM(H541:H543)</f>
        <v>0</v>
      </c>
      <c r="I540" s="1350">
        <f>SUM(I541:I543)</f>
        <v>0</v>
      </c>
      <c r="J540" s="1351">
        <f>SUM(J541:J543)</f>
        <v>0</v>
      </c>
      <c r="K540" s="416"/>
    </row>
    <row r="541" spans="1:226" s="418" customFormat="1" ht="14.1" hidden="1" customHeight="1">
      <c r="A541" s="1809"/>
      <c r="B541" s="1827"/>
      <c r="C541" s="1818"/>
      <c r="D541" s="1818"/>
      <c r="E541" s="1352"/>
      <c r="F541" s="1353">
        <f t="shared" ref="F541:F543" si="54">SUM(G541:J541)</f>
        <v>0</v>
      </c>
      <c r="G541" s="1353"/>
      <c r="H541" s="1353"/>
      <c r="I541" s="1353"/>
      <c r="J541" s="1354"/>
      <c r="K541" s="417"/>
    </row>
    <row r="542" spans="1:226" s="418" customFormat="1" ht="14.1" hidden="1" customHeight="1">
      <c r="A542" s="1809"/>
      <c r="B542" s="1827"/>
      <c r="C542" s="1818"/>
      <c r="D542" s="1818"/>
      <c r="E542" s="1352"/>
      <c r="F542" s="1353">
        <f t="shared" si="54"/>
        <v>0</v>
      </c>
      <c r="G542" s="1353"/>
      <c r="H542" s="1353"/>
      <c r="I542" s="1353"/>
      <c r="J542" s="1354"/>
      <c r="K542" s="416"/>
    </row>
    <row r="543" spans="1:226" s="418" customFormat="1" ht="14.1" hidden="1" customHeight="1">
      <c r="A543" s="1809"/>
      <c r="B543" s="1827"/>
      <c r="C543" s="1818"/>
      <c r="D543" s="1818"/>
      <c r="E543" s="1352"/>
      <c r="F543" s="1353">
        <f t="shared" si="54"/>
        <v>0</v>
      </c>
      <c r="G543" s="1353"/>
      <c r="H543" s="1353"/>
      <c r="I543" s="1353"/>
      <c r="J543" s="1354"/>
      <c r="K543" s="416"/>
    </row>
    <row r="544" spans="1:226" s="418" customFormat="1" ht="22.5" hidden="1">
      <c r="A544" s="1809"/>
      <c r="B544" s="1827"/>
      <c r="C544" s="1818"/>
      <c r="D544" s="1818"/>
      <c r="E544" s="1349" t="s">
        <v>340</v>
      </c>
      <c r="F544" s="1350">
        <f>SUM(F545:F547)</f>
        <v>0</v>
      </c>
      <c r="G544" s="1350">
        <f>SUM(G545:G547)</f>
        <v>0</v>
      </c>
      <c r="H544" s="1350">
        <f>SUM(H545:H547)</f>
        <v>0</v>
      </c>
      <c r="I544" s="1350">
        <f>SUM(I545:I547)</f>
        <v>0</v>
      </c>
      <c r="J544" s="1351">
        <f>SUM(J545:J547)</f>
        <v>0</v>
      </c>
      <c r="K544" s="416"/>
    </row>
    <row r="545" spans="1:226" s="418" customFormat="1" ht="12" hidden="1">
      <c r="A545" s="1809"/>
      <c r="B545" s="1827"/>
      <c r="C545" s="1818"/>
      <c r="D545" s="1818"/>
      <c r="E545" s="1352"/>
      <c r="F545" s="1353">
        <f t="shared" ref="F545:F547" si="55">SUM(G545:J545)</f>
        <v>0</v>
      </c>
      <c r="G545" s="1353"/>
      <c r="H545" s="1353"/>
      <c r="I545" s="1353"/>
      <c r="J545" s="1354"/>
      <c r="K545" s="416"/>
    </row>
    <row r="546" spans="1:226" s="418" customFormat="1" ht="14.1" hidden="1" customHeight="1">
      <c r="A546" s="1809"/>
      <c r="B546" s="1827"/>
      <c r="C546" s="1818"/>
      <c r="D546" s="1818"/>
      <c r="E546" s="1352"/>
      <c r="F546" s="1353">
        <f t="shared" si="55"/>
        <v>0</v>
      </c>
      <c r="G546" s="1353"/>
      <c r="H546" s="1353"/>
      <c r="I546" s="1353"/>
      <c r="J546" s="1354"/>
      <c r="K546" s="416"/>
    </row>
    <row r="547" spans="1:226" s="418" customFormat="1" ht="14.1" hidden="1" customHeight="1">
      <c r="A547" s="1809"/>
      <c r="B547" s="1827"/>
      <c r="C547" s="1818"/>
      <c r="D547" s="1818"/>
      <c r="E547" s="1352"/>
      <c r="F547" s="1353">
        <f t="shared" si="55"/>
        <v>0</v>
      </c>
      <c r="G547" s="1353"/>
      <c r="H547" s="1353"/>
      <c r="I547" s="1353"/>
      <c r="J547" s="1354"/>
      <c r="K547" s="416"/>
    </row>
    <row r="548" spans="1:226" s="418" customFormat="1" ht="16.5" customHeight="1">
      <c r="A548" s="1809"/>
      <c r="B548" s="1827"/>
      <c r="C548" s="1818"/>
      <c r="D548" s="1818"/>
      <c r="E548" s="1355" t="s">
        <v>324</v>
      </c>
      <c r="F548" s="1347">
        <f>SUM(F549:F550)</f>
        <v>268000</v>
      </c>
      <c r="G548" s="1347">
        <f>SUM(G549:G550)</f>
        <v>268000</v>
      </c>
      <c r="H548" s="1347">
        <f>SUM(H549:H550)</f>
        <v>0</v>
      </c>
      <c r="I548" s="1347">
        <f>SUM(I549:I550)</f>
        <v>0</v>
      </c>
      <c r="J548" s="1348">
        <f>SUM(J549:J550)</f>
        <v>0</v>
      </c>
      <c r="K548" s="416"/>
    </row>
    <row r="549" spans="1:226" s="418" customFormat="1" ht="15" customHeight="1">
      <c r="A549" s="1809"/>
      <c r="B549" s="1827"/>
      <c r="C549" s="1818"/>
      <c r="D549" s="1818"/>
      <c r="E549" s="1212" t="s">
        <v>349</v>
      </c>
      <c r="F549" s="427">
        <f>SUM(G549:J549)</f>
        <v>200439</v>
      </c>
      <c r="G549" s="427">
        <v>200439</v>
      </c>
      <c r="H549" s="427"/>
      <c r="I549" s="427"/>
      <c r="J549" s="1382"/>
      <c r="K549" s="416"/>
    </row>
    <row r="550" spans="1:226" s="418" customFormat="1" ht="15" customHeight="1" thickBot="1">
      <c r="A550" s="1810"/>
      <c r="B550" s="1828"/>
      <c r="C550" s="1819"/>
      <c r="D550" s="1819"/>
      <c r="E550" s="1356">
        <v>6059</v>
      </c>
      <c r="F550" s="1357">
        <f>SUM(G550:J550)</f>
        <v>67561</v>
      </c>
      <c r="G550" s="1357">
        <v>67561</v>
      </c>
      <c r="H550" s="1357"/>
      <c r="I550" s="1357"/>
      <c r="J550" s="1373"/>
      <c r="K550" s="416"/>
    </row>
    <row r="551" spans="1:226" s="418" customFormat="1" ht="22.5" customHeight="1">
      <c r="A551" s="1808" t="s">
        <v>469</v>
      </c>
      <c r="B551" s="1826" t="s">
        <v>470</v>
      </c>
      <c r="C551" s="1817" t="s">
        <v>4</v>
      </c>
      <c r="D551" s="1817" t="s">
        <v>271</v>
      </c>
      <c r="E551" s="1361" t="s">
        <v>322</v>
      </c>
      <c r="F551" s="1362">
        <f>SUM(F552,F569)</f>
        <v>1041266</v>
      </c>
      <c r="G551" s="1362">
        <f>SUM(G552,G569)</f>
        <v>0</v>
      </c>
      <c r="H551" s="1362">
        <f>SUM(H552,H569)</f>
        <v>1041266</v>
      </c>
      <c r="I551" s="1362">
        <f>SUM(I552,I569)</f>
        <v>0</v>
      </c>
      <c r="J551" s="1363">
        <f>SUM(J552,J569)</f>
        <v>0</v>
      </c>
      <c r="K551" s="416"/>
      <c r="L551" s="416"/>
      <c r="M551" s="416"/>
      <c r="N551" s="416"/>
      <c r="O551" s="416"/>
      <c r="P551" s="416"/>
      <c r="Q551" s="416"/>
      <c r="R551" s="416"/>
      <c r="S551" s="416"/>
      <c r="T551" s="416"/>
      <c r="U551" s="416"/>
      <c r="V551" s="416"/>
      <c r="W551" s="416"/>
      <c r="X551" s="416"/>
      <c r="Y551" s="416"/>
      <c r="Z551" s="416"/>
      <c r="AA551" s="416"/>
      <c r="AB551" s="416"/>
      <c r="AC551" s="416"/>
      <c r="AD551" s="416"/>
      <c r="AE551" s="416"/>
      <c r="AF551" s="416"/>
      <c r="AG551" s="416"/>
      <c r="AH551" s="416"/>
      <c r="AI551" s="416"/>
      <c r="AJ551" s="416"/>
      <c r="AK551" s="416"/>
      <c r="AL551" s="416"/>
      <c r="AM551" s="416"/>
      <c r="AN551" s="416"/>
      <c r="AO551" s="416"/>
      <c r="AP551" s="416"/>
      <c r="AQ551" s="416"/>
      <c r="AR551" s="416"/>
      <c r="AS551" s="416"/>
      <c r="AT551" s="416"/>
      <c r="AU551" s="416"/>
      <c r="AV551" s="416"/>
      <c r="AW551" s="416"/>
      <c r="AX551" s="416"/>
      <c r="AY551" s="416"/>
      <c r="AZ551" s="416"/>
      <c r="BA551" s="416"/>
      <c r="BB551" s="416"/>
      <c r="BC551" s="416"/>
      <c r="BD551" s="416"/>
      <c r="BE551" s="416"/>
      <c r="BF551" s="416"/>
      <c r="BG551" s="416"/>
      <c r="BH551" s="416"/>
      <c r="BI551" s="416"/>
      <c r="BJ551" s="416"/>
      <c r="BK551" s="416"/>
      <c r="BL551" s="416"/>
      <c r="BM551" s="416"/>
      <c r="BN551" s="416"/>
      <c r="BO551" s="416"/>
      <c r="BP551" s="416"/>
      <c r="BQ551" s="416"/>
      <c r="BR551" s="416"/>
      <c r="BS551" s="416"/>
      <c r="BT551" s="416"/>
      <c r="BU551" s="416"/>
      <c r="BV551" s="416"/>
      <c r="BW551" s="416"/>
      <c r="BX551" s="416"/>
      <c r="BY551" s="416"/>
      <c r="BZ551" s="416"/>
      <c r="CA551" s="416"/>
      <c r="CB551" s="416"/>
      <c r="CC551" s="416"/>
      <c r="CD551" s="416"/>
      <c r="CE551" s="416"/>
      <c r="CF551" s="416"/>
      <c r="CG551" s="416"/>
      <c r="CH551" s="416"/>
      <c r="CI551" s="416"/>
      <c r="CJ551" s="416"/>
      <c r="CK551" s="416"/>
      <c r="CL551" s="416"/>
      <c r="CM551" s="416"/>
      <c r="CN551" s="416"/>
      <c r="CO551" s="416"/>
      <c r="CP551" s="416"/>
      <c r="CQ551" s="416"/>
      <c r="CR551" s="416"/>
      <c r="CS551" s="416"/>
      <c r="CT551" s="416"/>
      <c r="CU551" s="416"/>
      <c r="CV551" s="416"/>
      <c r="CW551" s="416"/>
      <c r="CX551" s="416"/>
      <c r="CY551" s="416"/>
      <c r="CZ551" s="416"/>
      <c r="DA551" s="416"/>
      <c r="DB551" s="416"/>
      <c r="DC551" s="416"/>
      <c r="DD551" s="416"/>
      <c r="DE551" s="416"/>
      <c r="DF551" s="416"/>
      <c r="DG551" s="416"/>
      <c r="DH551" s="416"/>
      <c r="DI551" s="416"/>
      <c r="DJ551" s="416"/>
      <c r="DK551" s="416"/>
      <c r="DL551" s="416"/>
      <c r="DM551" s="416"/>
      <c r="DN551" s="416"/>
      <c r="DO551" s="416"/>
      <c r="DP551" s="416"/>
      <c r="DQ551" s="416"/>
      <c r="DR551" s="416"/>
      <c r="DS551" s="416"/>
      <c r="DT551" s="416"/>
      <c r="DU551" s="416"/>
      <c r="DV551" s="416"/>
      <c r="DW551" s="416"/>
      <c r="DX551" s="416"/>
      <c r="DY551" s="416"/>
      <c r="DZ551" s="416"/>
      <c r="EA551" s="416"/>
      <c r="EB551" s="416"/>
      <c r="EC551" s="416"/>
      <c r="ED551" s="416"/>
      <c r="EE551" s="416"/>
      <c r="EF551" s="416"/>
      <c r="EG551" s="416"/>
      <c r="EH551" s="416"/>
      <c r="EI551" s="416"/>
      <c r="EJ551" s="416"/>
      <c r="EK551" s="416"/>
      <c r="EL551" s="416"/>
      <c r="EM551" s="416"/>
      <c r="EN551" s="416"/>
      <c r="EO551" s="416"/>
      <c r="EP551" s="416"/>
      <c r="EQ551" s="416"/>
      <c r="ER551" s="416"/>
      <c r="ES551" s="416"/>
      <c r="ET551" s="416"/>
      <c r="EU551" s="416"/>
      <c r="EV551" s="416"/>
      <c r="EW551" s="416"/>
      <c r="EX551" s="416"/>
      <c r="EY551" s="416"/>
      <c r="EZ551" s="416"/>
      <c r="FA551" s="416"/>
      <c r="FB551" s="416"/>
      <c r="FC551" s="416"/>
      <c r="FD551" s="416"/>
      <c r="FE551" s="416"/>
      <c r="FF551" s="416"/>
      <c r="FG551" s="416"/>
      <c r="FH551" s="416"/>
      <c r="FI551" s="416"/>
      <c r="FJ551" s="416"/>
      <c r="FK551" s="416"/>
      <c r="FL551" s="416"/>
      <c r="FM551" s="416"/>
      <c r="FN551" s="416"/>
      <c r="FO551" s="416"/>
      <c r="FP551" s="416"/>
      <c r="FQ551" s="416"/>
      <c r="FR551" s="416"/>
      <c r="FS551" s="416"/>
      <c r="FT551" s="416"/>
      <c r="FU551" s="416"/>
      <c r="FV551" s="416"/>
      <c r="FW551" s="416"/>
      <c r="FX551" s="416"/>
      <c r="FY551" s="416"/>
      <c r="FZ551" s="416"/>
      <c r="GA551" s="416"/>
      <c r="GB551" s="416"/>
      <c r="GC551" s="416"/>
      <c r="GD551" s="416"/>
      <c r="GE551" s="416"/>
      <c r="GF551" s="416"/>
      <c r="GG551" s="416"/>
      <c r="GH551" s="416"/>
      <c r="GI551" s="416"/>
      <c r="GJ551" s="416"/>
      <c r="GK551" s="416"/>
      <c r="GL551" s="416"/>
      <c r="GM551" s="416"/>
      <c r="GN551" s="416"/>
      <c r="GO551" s="416"/>
      <c r="GP551" s="416"/>
      <c r="GQ551" s="416"/>
      <c r="GR551" s="416"/>
      <c r="GS551" s="416"/>
      <c r="GT551" s="416"/>
      <c r="GU551" s="416"/>
      <c r="GV551" s="416"/>
      <c r="GW551" s="416"/>
      <c r="GX551" s="416"/>
      <c r="GY551" s="416"/>
      <c r="GZ551" s="416"/>
      <c r="HA551" s="416"/>
      <c r="HB551" s="416"/>
      <c r="HC551" s="416"/>
      <c r="HD551" s="416"/>
      <c r="HE551" s="416"/>
      <c r="HF551" s="416"/>
      <c r="HG551" s="416"/>
      <c r="HH551" s="416"/>
      <c r="HI551" s="416"/>
      <c r="HJ551" s="416"/>
      <c r="HK551" s="416"/>
      <c r="HL551" s="416"/>
      <c r="HM551" s="416"/>
      <c r="HN551" s="416"/>
      <c r="HO551" s="416"/>
      <c r="HP551" s="416"/>
      <c r="HQ551" s="416"/>
      <c r="HR551" s="416"/>
    </row>
    <row r="552" spans="1:226" s="418" customFormat="1" ht="21">
      <c r="A552" s="1809"/>
      <c r="B552" s="1827"/>
      <c r="C552" s="1818"/>
      <c r="D552" s="1818"/>
      <c r="E552" s="1346" t="s">
        <v>334</v>
      </c>
      <c r="F552" s="1347">
        <f>SUM(F553,F559)</f>
        <v>1033266</v>
      </c>
      <c r="G552" s="1347">
        <f>SUM(G553,G559)</f>
        <v>0</v>
      </c>
      <c r="H552" s="1347">
        <f>SUM(H553,H559)</f>
        <v>1033266</v>
      </c>
      <c r="I552" s="1347">
        <f>SUM(I553,I559)</f>
        <v>0</v>
      </c>
      <c r="J552" s="1348">
        <f>SUM(J553,J559)</f>
        <v>0</v>
      </c>
      <c r="K552" s="416"/>
    </row>
    <row r="553" spans="1:226" s="418" customFormat="1" ht="22.5">
      <c r="A553" s="1809"/>
      <c r="B553" s="1827"/>
      <c r="C553" s="1818"/>
      <c r="D553" s="1818"/>
      <c r="E553" s="1349" t="s">
        <v>335</v>
      </c>
      <c r="F553" s="1350">
        <f>SUM(F554:F558)</f>
        <v>313305</v>
      </c>
      <c r="G553" s="1350">
        <f>SUM(G554:G558)</f>
        <v>0</v>
      </c>
      <c r="H553" s="1350">
        <f>SUM(H554:H558)</f>
        <v>313305</v>
      </c>
      <c r="I553" s="1350">
        <f>SUM(I554:I558)</f>
        <v>0</v>
      </c>
      <c r="J553" s="1351">
        <f>SUM(J554:J558)</f>
        <v>0</v>
      </c>
      <c r="K553" s="416"/>
    </row>
    <row r="554" spans="1:226" s="418" customFormat="1" ht="14.1" customHeight="1">
      <c r="A554" s="1809"/>
      <c r="B554" s="1827"/>
      <c r="C554" s="1818"/>
      <c r="D554" s="1818"/>
      <c r="E554" s="1352" t="s">
        <v>362</v>
      </c>
      <c r="F554" s="1353">
        <f t="shared" ref="F554:F558" si="56">SUM(G554:J554)</f>
        <v>241125</v>
      </c>
      <c r="G554" s="1353"/>
      <c r="H554" s="1353">
        <v>241125</v>
      </c>
      <c r="I554" s="1353"/>
      <c r="J554" s="1354"/>
      <c r="K554" s="417"/>
    </row>
    <row r="555" spans="1:226" s="418" customFormat="1" ht="14.1" customHeight="1">
      <c r="A555" s="1809"/>
      <c r="B555" s="1827"/>
      <c r="C555" s="1818"/>
      <c r="D555" s="1818"/>
      <c r="E555" s="1352" t="s">
        <v>364</v>
      </c>
      <c r="F555" s="1353">
        <f t="shared" si="56"/>
        <v>18000</v>
      </c>
      <c r="G555" s="1353"/>
      <c r="H555" s="1353">
        <v>18000</v>
      </c>
      <c r="I555" s="1353"/>
      <c r="J555" s="1354"/>
      <c r="K555" s="416"/>
    </row>
    <row r="556" spans="1:226" s="418" customFormat="1" ht="14.1" customHeight="1">
      <c r="A556" s="1809"/>
      <c r="B556" s="1827"/>
      <c r="C556" s="1818"/>
      <c r="D556" s="1818"/>
      <c r="E556" s="1352" t="s">
        <v>336</v>
      </c>
      <c r="F556" s="1353">
        <f t="shared" si="56"/>
        <v>44693</v>
      </c>
      <c r="G556" s="1353"/>
      <c r="H556" s="1353">
        <v>44693</v>
      </c>
      <c r="I556" s="1353"/>
      <c r="J556" s="1354"/>
      <c r="K556" s="416"/>
    </row>
    <row r="557" spans="1:226" s="418" customFormat="1" ht="14.1" customHeight="1">
      <c r="A557" s="1809"/>
      <c r="B557" s="1827"/>
      <c r="C557" s="1818"/>
      <c r="D557" s="1818"/>
      <c r="E557" s="1352" t="s">
        <v>366</v>
      </c>
      <c r="F557" s="1353">
        <f t="shared" si="56"/>
        <v>4487</v>
      </c>
      <c r="G557" s="1353"/>
      <c r="H557" s="1353">
        <v>4487</v>
      </c>
      <c r="I557" s="1353"/>
      <c r="J557" s="1354"/>
      <c r="K557" s="416"/>
    </row>
    <row r="558" spans="1:226" s="418" customFormat="1" ht="14.1" customHeight="1">
      <c r="A558" s="1809"/>
      <c r="B558" s="1827"/>
      <c r="C558" s="1818"/>
      <c r="D558" s="1818"/>
      <c r="E558" s="1352" t="s">
        <v>338</v>
      </c>
      <c r="F558" s="1353">
        <f t="shared" si="56"/>
        <v>5000</v>
      </c>
      <c r="G558" s="1353"/>
      <c r="H558" s="1353">
        <v>5000</v>
      </c>
      <c r="I558" s="1353"/>
      <c r="J558" s="1354"/>
      <c r="K558" s="416"/>
    </row>
    <row r="559" spans="1:226" s="418" customFormat="1" ht="22.5">
      <c r="A559" s="1809"/>
      <c r="B559" s="1827"/>
      <c r="C559" s="1818"/>
      <c r="D559" s="1818"/>
      <c r="E559" s="1349" t="s">
        <v>340</v>
      </c>
      <c r="F559" s="1350">
        <f>SUM(F560:F568)</f>
        <v>719961</v>
      </c>
      <c r="G559" s="1350">
        <f>SUM(G560:G568)</f>
        <v>0</v>
      </c>
      <c r="H559" s="1350">
        <f>SUM(H560:H568)</f>
        <v>719961</v>
      </c>
      <c r="I559" s="1350">
        <f>SUM(I560:I568)</f>
        <v>0</v>
      </c>
      <c r="J559" s="1351">
        <f>SUM(J560:J568)</f>
        <v>0</v>
      </c>
      <c r="K559" s="416"/>
    </row>
    <row r="560" spans="1:226" s="418" customFormat="1" ht="12">
      <c r="A560" s="1809"/>
      <c r="B560" s="1827"/>
      <c r="C560" s="1818"/>
      <c r="D560" s="1818"/>
      <c r="E560" s="1352" t="s">
        <v>341</v>
      </c>
      <c r="F560" s="1353">
        <f t="shared" ref="F560:F568" si="57">SUM(G560:J560)</f>
        <v>30000</v>
      </c>
      <c r="G560" s="1353"/>
      <c r="H560" s="1353">
        <v>30000</v>
      </c>
      <c r="I560" s="1353"/>
      <c r="J560" s="1354"/>
      <c r="K560" s="416"/>
    </row>
    <row r="561" spans="1:11" s="418" customFormat="1" ht="14.1" customHeight="1">
      <c r="A561" s="1809"/>
      <c r="B561" s="1827"/>
      <c r="C561" s="1818"/>
      <c r="D561" s="1818"/>
      <c r="E561" s="1352" t="s">
        <v>440</v>
      </c>
      <c r="F561" s="1353">
        <f t="shared" si="57"/>
        <v>5000</v>
      </c>
      <c r="G561" s="1353"/>
      <c r="H561" s="1353">
        <v>5000</v>
      </c>
      <c r="I561" s="1353"/>
      <c r="J561" s="1354"/>
      <c r="K561" s="416"/>
    </row>
    <row r="562" spans="1:11" s="418" customFormat="1" ht="14.1" customHeight="1">
      <c r="A562" s="1809"/>
      <c r="B562" s="1827"/>
      <c r="C562" s="1818"/>
      <c r="D562" s="1818"/>
      <c r="E562" s="1352" t="s">
        <v>343</v>
      </c>
      <c r="F562" s="1353">
        <f t="shared" si="57"/>
        <v>592980</v>
      </c>
      <c r="G562" s="1353"/>
      <c r="H562" s="1353">
        <v>592980</v>
      </c>
      <c r="I562" s="1353"/>
      <c r="J562" s="1354"/>
      <c r="K562" s="416"/>
    </row>
    <row r="563" spans="1:11" s="418" customFormat="1" ht="14.1" customHeight="1">
      <c r="A563" s="1809"/>
      <c r="B563" s="1827"/>
      <c r="C563" s="1818"/>
      <c r="D563" s="1818"/>
      <c r="E563" s="1352" t="s">
        <v>471</v>
      </c>
      <c r="F563" s="1353">
        <f t="shared" si="57"/>
        <v>3000</v>
      </c>
      <c r="G563" s="1353"/>
      <c r="H563" s="1353">
        <v>3000</v>
      </c>
      <c r="I563" s="1353"/>
      <c r="J563" s="1354"/>
      <c r="K563" s="416"/>
    </row>
    <row r="564" spans="1:11" s="418" customFormat="1" ht="14.1" customHeight="1">
      <c r="A564" s="1809"/>
      <c r="B564" s="1827"/>
      <c r="C564" s="1818"/>
      <c r="D564" s="1818"/>
      <c r="E564" s="1352" t="s">
        <v>358</v>
      </c>
      <c r="F564" s="1353">
        <f t="shared" si="57"/>
        <v>6000</v>
      </c>
      <c r="G564" s="1353"/>
      <c r="H564" s="1353">
        <v>6000</v>
      </c>
      <c r="I564" s="1353"/>
      <c r="J564" s="1354"/>
      <c r="K564" s="416"/>
    </row>
    <row r="565" spans="1:11" s="418" customFormat="1" ht="14.1" customHeight="1">
      <c r="A565" s="1809"/>
      <c r="B565" s="1827"/>
      <c r="C565" s="1818"/>
      <c r="D565" s="1818"/>
      <c r="E565" s="1352" t="s">
        <v>472</v>
      </c>
      <c r="F565" s="1353">
        <f t="shared" si="57"/>
        <v>40000</v>
      </c>
      <c r="G565" s="1353"/>
      <c r="H565" s="1353">
        <v>40000</v>
      </c>
      <c r="I565" s="1353"/>
      <c r="J565" s="1354"/>
      <c r="K565" s="416"/>
    </row>
    <row r="566" spans="1:11" s="418" customFormat="1" ht="14.1" customHeight="1">
      <c r="A566" s="1809"/>
      <c r="B566" s="1827"/>
      <c r="C566" s="1818"/>
      <c r="D566" s="1818"/>
      <c r="E566" s="1352" t="s">
        <v>345</v>
      </c>
      <c r="F566" s="1353">
        <f t="shared" si="57"/>
        <v>22071</v>
      </c>
      <c r="G566" s="1353"/>
      <c r="H566" s="1353">
        <v>22071</v>
      </c>
      <c r="I566" s="1353"/>
      <c r="J566" s="1354"/>
      <c r="K566" s="416"/>
    </row>
    <row r="567" spans="1:11" s="418" customFormat="1" ht="14.1" customHeight="1">
      <c r="A567" s="1809"/>
      <c r="B567" s="1827"/>
      <c r="C567" s="1818"/>
      <c r="D567" s="1818"/>
      <c r="E567" s="1352" t="s">
        <v>376</v>
      </c>
      <c r="F567" s="1353">
        <f t="shared" si="57"/>
        <v>13242</v>
      </c>
      <c r="G567" s="1353"/>
      <c r="H567" s="1353">
        <v>13242</v>
      </c>
      <c r="I567" s="1353"/>
      <c r="J567" s="1354"/>
      <c r="K567" s="416"/>
    </row>
    <row r="568" spans="1:11" s="418" customFormat="1" ht="14.1" customHeight="1">
      <c r="A568" s="1809"/>
      <c r="B568" s="1827"/>
      <c r="C568" s="1818"/>
      <c r="D568" s="1818"/>
      <c r="E568" s="1352" t="s">
        <v>380</v>
      </c>
      <c r="F568" s="1353">
        <f t="shared" si="57"/>
        <v>7668</v>
      </c>
      <c r="G568" s="1353"/>
      <c r="H568" s="1353">
        <v>7668</v>
      </c>
      <c r="I568" s="1353"/>
      <c r="J568" s="1354"/>
      <c r="K568" s="416"/>
    </row>
    <row r="569" spans="1:11" s="418" customFormat="1" ht="16.5" customHeight="1">
      <c r="A569" s="1809"/>
      <c r="B569" s="1827"/>
      <c r="C569" s="1818"/>
      <c r="D569" s="1818"/>
      <c r="E569" s="1355" t="s">
        <v>324</v>
      </c>
      <c r="F569" s="1347">
        <f>SUM(F570:F571)</f>
        <v>8000</v>
      </c>
      <c r="G569" s="1347">
        <f>SUM(G570:G571)</f>
        <v>0</v>
      </c>
      <c r="H569" s="1347">
        <f>SUM(H570:H571)</f>
        <v>8000</v>
      </c>
      <c r="I569" s="1347">
        <f>SUM(I570:I571)</f>
        <v>0</v>
      </c>
      <c r="J569" s="1348">
        <f>SUM(J570:J571)</f>
        <v>0</v>
      </c>
      <c r="K569" s="416"/>
    </row>
    <row r="570" spans="1:11" s="418" customFormat="1" ht="15" hidden="1" customHeight="1">
      <c r="A570" s="1809"/>
      <c r="B570" s="1827"/>
      <c r="C570" s="1818"/>
      <c r="D570" s="1818"/>
      <c r="E570" s="1212" t="s">
        <v>349</v>
      </c>
      <c r="F570" s="427">
        <f>SUM(G570:J570)</f>
        <v>0</v>
      </c>
      <c r="G570" s="427"/>
      <c r="H570" s="427"/>
      <c r="I570" s="427"/>
      <c r="J570" s="1382"/>
      <c r="K570" s="416"/>
    </row>
    <row r="571" spans="1:11" s="418" customFormat="1" ht="15" customHeight="1" thickBot="1">
      <c r="A571" s="1810"/>
      <c r="B571" s="1828"/>
      <c r="C571" s="1819"/>
      <c r="D571" s="1819"/>
      <c r="E571" s="1356">
        <v>6068</v>
      </c>
      <c r="F571" s="1357">
        <f>SUM(G571:J571)</f>
        <v>8000</v>
      </c>
      <c r="G571" s="1357"/>
      <c r="H571" s="1357">
        <v>8000</v>
      </c>
      <c r="I571" s="1357"/>
      <c r="J571" s="1373"/>
      <c r="K571" s="416"/>
    </row>
    <row r="572" spans="1:11" s="418" customFormat="1" ht="24.95" customHeight="1">
      <c r="A572" s="1808" t="s">
        <v>473</v>
      </c>
      <c r="B572" s="1826" t="s">
        <v>474</v>
      </c>
      <c r="C572" s="1817" t="s">
        <v>4</v>
      </c>
      <c r="D572" s="1817" t="s">
        <v>271</v>
      </c>
      <c r="E572" s="1361" t="s">
        <v>322</v>
      </c>
      <c r="F572" s="1362">
        <f>SUM(F573,F604)</f>
        <v>2100000</v>
      </c>
      <c r="G572" s="1362">
        <f>SUM(G573,G604)</f>
        <v>0</v>
      </c>
      <c r="H572" s="1362">
        <f>SUM(H573,H604)</f>
        <v>1785000</v>
      </c>
      <c r="I572" s="1362">
        <f>SUM(I573,I604)</f>
        <v>315000</v>
      </c>
      <c r="J572" s="1363">
        <f>SUM(J573,J604)</f>
        <v>0</v>
      </c>
      <c r="K572" s="416"/>
    </row>
    <row r="573" spans="1:11" s="418" customFormat="1" ht="24.95" customHeight="1">
      <c r="A573" s="1809"/>
      <c r="B573" s="1827"/>
      <c r="C573" s="1818"/>
      <c r="D573" s="1818"/>
      <c r="E573" s="1346" t="s">
        <v>334</v>
      </c>
      <c r="F573" s="1347">
        <f>SUM(F574,F583)</f>
        <v>2100000</v>
      </c>
      <c r="G573" s="1347">
        <f>SUM(G574,G583)</f>
        <v>0</v>
      </c>
      <c r="H573" s="1347">
        <f>SUM(H574,H583)</f>
        <v>1785000</v>
      </c>
      <c r="I573" s="1347">
        <f>SUM(I574,I583)</f>
        <v>315000</v>
      </c>
      <c r="J573" s="1348">
        <f>SUM(J574,J583)</f>
        <v>0</v>
      </c>
      <c r="K573" s="416"/>
    </row>
    <row r="574" spans="1:11" s="418" customFormat="1" ht="24.95" customHeight="1">
      <c r="A574" s="1809"/>
      <c r="B574" s="1827"/>
      <c r="C574" s="1818"/>
      <c r="D574" s="1818"/>
      <c r="E574" s="1349" t="s">
        <v>335</v>
      </c>
      <c r="F574" s="1350">
        <f>SUM(F575:F582)</f>
        <v>1400000</v>
      </c>
      <c r="G574" s="1350">
        <f>SUM(G575:G582)</f>
        <v>0</v>
      </c>
      <c r="H574" s="1350">
        <f>SUM(H575:H582)</f>
        <v>1190000</v>
      </c>
      <c r="I574" s="1350">
        <f>SUM(I575:I582)</f>
        <v>210000</v>
      </c>
      <c r="J574" s="1351">
        <f>SUM(J575:J582)</f>
        <v>0</v>
      </c>
      <c r="K574" s="416"/>
    </row>
    <row r="575" spans="1:11" s="418" customFormat="1" ht="15" customHeight="1">
      <c r="A575" s="1809"/>
      <c r="B575" s="1827"/>
      <c r="C575" s="1818"/>
      <c r="D575" s="1818"/>
      <c r="E575" s="1352" t="s">
        <v>362</v>
      </c>
      <c r="F575" s="1353">
        <f t="shared" ref="F575:F582" si="58">SUM(G575:J575)</f>
        <v>910006</v>
      </c>
      <c r="G575" s="1353"/>
      <c r="H575" s="1353">
        <v>910006</v>
      </c>
      <c r="I575" s="1353"/>
      <c r="J575" s="1354"/>
      <c r="K575" s="416"/>
    </row>
    <row r="576" spans="1:11" s="418" customFormat="1" ht="15" customHeight="1">
      <c r="A576" s="1809"/>
      <c r="B576" s="1827"/>
      <c r="C576" s="1818"/>
      <c r="D576" s="1818"/>
      <c r="E576" s="1352" t="s">
        <v>363</v>
      </c>
      <c r="F576" s="1353">
        <f t="shared" si="58"/>
        <v>160589</v>
      </c>
      <c r="G576" s="1353"/>
      <c r="H576" s="1353"/>
      <c r="I576" s="1353">
        <v>160589</v>
      </c>
      <c r="J576" s="1354"/>
      <c r="K576" s="416"/>
    </row>
    <row r="577" spans="1:11" s="418" customFormat="1" ht="15" customHeight="1">
      <c r="A577" s="1809"/>
      <c r="B577" s="1827"/>
      <c r="C577" s="1818"/>
      <c r="D577" s="1818"/>
      <c r="E577" s="1352" t="s">
        <v>364</v>
      </c>
      <c r="F577" s="1353">
        <f t="shared" si="58"/>
        <v>53877</v>
      </c>
      <c r="G577" s="1353"/>
      <c r="H577" s="1353">
        <v>53877</v>
      </c>
      <c r="I577" s="1353"/>
      <c r="J577" s="1354"/>
      <c r="K577" s="416"/>
    </row>
    <row r="578" spans="1:11" s="418" customFormat="1" ht="15" customHeight="1">
      <c r="A578" s="1809"/>
      <c r="B578" s="1827"/>
      <c r="C578" s="1818"/>
      <c r="D578" s="1818"/>
      <c r="E578" s="1352" t="s">
        <v>365</v>
      </c>
      <c r="F578" s="1353">
        <f t="shared" si="58"/>
        <v>9508</v>
      </c>
      <c r="G578" s="1353"/>
      <c r="H578" s="1353"/>
      <c r="I578" s="1353">
        <v>9508</v>
      </c>
      <c r="J578" s="1354"/>
      <c r="K578" s="416"/>
    </row>
    <row r="579" spans="1:11" s="418" customFormat="1" ht="15" customHeight="1">
      <c r="A579" s="1809"/>
      <c r="B579" s="1827"/>
      <c r="C579" s="1818"/>
      <c r="D579" s="1818"/>
      <c r="E579" s="1352" t="s">
        <v>336</v>
      </c>
      <c r="F579" s="1353">
        <f t="shared" si="58"/>
        <v>173910</v>
      </c>
      <c r="G579" s="1353"/>
      <c r="H579" s="1353">
        <v>173910</v>
      </c>
      <c r="I579" s="1353"/>
      <c r="J579" s="1354"/>
      <c r="K579" s="416"/>
    </row>
    <row r="580" spans="1:11" s="418" customFormat="1" ht="15" customHeight="1">
      <c r="A580" s="1809"/>
      <c r="B580" s="1827"/>
      <c r="C580" s="1818"/>
      <c r="D580" s="1818"/>
      <c r="E580" s="1352" t="s">
        <v>337</v>
      </c>
      <c r="F580" s="1353">
        <f t="shared" si="58"/>
        <v>30690</v>
      </c>
      <c r="G580" s="1353"/>
      <c r="H580" s="1353"/>
      <c r="I580" s="1353">
        <v>30690</v>
      </c>
      <c r="J580" s="1354"/>
      <c r="K580" s="416"/>
    </row>
    <row r="581" spans="1:11" s="418" customFormat="1" ht="15" customHeight="1">
      <c r="A581" s="1809"/>
      <c r="B581" s="1827"/>
      <c r="C581" s="1818"/>
      <c r="D581" s="1818"/>
      <c r="E581" s="1352" t="s">
        <v>366</v>
      </c>
      <c r="F581" s="1353">
        <f t="shared" si="58"/>
        <v>52207</v>
      </c>
      <c r="G581" s="1353"/>
      <c r="H581" s="1353">
        <v>52207</v>
      </c>
      <c r="I581" s="1353"/>
      <c r="J581" s="1354"/>
      <c r="K581" s="416"/>
    </row>
    <row r="582" spans="1:11" s="418" customFormat="1" ht="15" customHeight="1">
      <c r="A582" s="1809"/>
      <c r="B582" s="1827"/>
      <c r="C582" s="1818"/>
      <c r="D582" s="1818"/>
      <c r="E582" s="1352" t="s">
        <v>367</v>
      </c>
      <c r="F582" s="1353">
        <f t="shared" si="58"/>
        <v>9213</v>
      </c>
      <c r="G582" s="1353"/>
      <c r="H582" s="1353"/>
      <c r="I582" s="1353">
        <v>9213</v>
      </c>
      <c r="J582" s="1354"/>
      <c r="K582" s="416"/>
    </row>
    <row r="583" spans="1:11" s="418" customFormat="1" ht="24.95" customHeight="1">
      <c r="A583" s="1809"/>
      <c r="B583" s="1827"/>
      <c r="C583" s="1818"/>
      <c r="D583" s="1818"/>
      <c r="E583" s="1349" t="s">
        <v>340</v>
      </c>
      <c r="F583" s="1350">
        <f>SUM(F584:F603)</f>
        <v>700000</v>
      </c>
      <c r="G583" s="1350">
        <f>SUM(G584:G603)</f>
        <v>0</v>
      </c>
      <c r="H583" s="1350">
        <f>SUM(H584:H603)</f>
        <v>595000</v>
      </c>
      <c r="I583" s="1350">
        <f>SUM(I584:I603)</f>
        <v>105000</v>
      </c>
      <c r="J583" s="1351">
        <f>SUM(J584:J603)</f>
        <v>0</v>
      </c>
      <c r="K583" s="416"/>
    </row>
    <row r="584" spans="1:11" s="418" customFormat="1" ht="15" customHeight="1">
      <c r="A584" s="1809"/>
      <c r="B584" s="1827"/>
      <c r="C584" s="1818"/>
      <c r="D584" s="1818"/>
      <c r="E584" s="1352" t="s">
        <v>341</v>
      </c>
      <c r="F584" s="1353">
        <f t="shared" ref="F584:F603" si="59">SUM(G584:J584)</f>
        <v>150293</v>
      </c>
      <c r="G584" s="1353"/>
      <c r="H584" s="1353">
        <v>150293</v>
      </c>
      <c r="I584" s="1353"/>
      <c r="J584" s="1354"/>
      <c r="K584" s="416"/>
    </row>
    <row r="585" spans="1:11" s="418" customFormat="1" ht="15" customHeight="1">
      <c r="A585" s="1809"/>
      <c r="B585" s="1827"/>
      <c r="C585" s="1818"/>
      <c r="D585" s="1818"/>
      <c r="E585" s="1352" t="s">
        <v>342</v>
      </c>
      <c r="F585" s="1353">
        <f t="shared" si="59"/>
        <v>26522</v>
      </c>
      <c r="G585" s="1353"/>
      <c r="H585" s="1353"/>
      <c r="I585" s="1353">
        <v>26522</v>
      </c>
      <c r="J585" s="1354"/>
      <c r="K585" s="416"/>
    </row>
    <row r="586" spans="1:11" s="418" customFormat="1" ht="15" customHeight="1">
      <c r="A586" s="1809"/>
      <c r="B586" s="1827"/>
      <c r="C586" s="1818"/>
      <c r="D586" s="1818"/>
      <c r="E586" s="1352" t="s">
        <v>372</v>
      </c>
      <c r="F586" s="1353">
        <f t="shared" si="59"/>
        <v>15300</v>
      </c>
      <c r="G586" s="1353"/>
      <c r="H586" s="1353">
        <v>15300</v>
      </c>
      <c r="I586" s="1353"/>
      <c r="J586" s="1354"/>
      <c r="K586" s="416"/>
    </row>
    <row r="587" spans="1:11" s="418" customFormat="1" ht="15" customHeight="1">
      <c r="A587" s="1809"/>
      <c r="B587" s="1827"/>
      <c r="C587" s="1818"/>
      <c r="D587" s="1818"/>
      <c r="E587" s="1352" t="s">
        <v>373</v>
      </c>
      <c r="F587" s="1353">
        <f t="shared" si="59"/>
        <v>2700</v>
      </c>
      <c r="G587" s="1353"/>
      <c r="H587" s="1353"/>
      <c r="I587" s="1353">
        <v>2700</v>
      </c>
      <c r="J587" s="1354"/>
      <c r="K587" s="416"/>
    </row>
    <row r="588" spans="1:11" s="418" customFormat="1" ht="15" customHeight="1">
      <c r="A588" s="1809"/>
      <c r="B588" s="1827"/>
      <c r="C588" s="1818"/>
      <c r="D588" s="1818"/>
      <c r="E588" s="1352" t="s">
        <v>440</v>
      </c>
      <c r="F588" s="1353">
        <f t="shared" si="59"/>
        <v>1700</v>
      </c>
      <c r="G588" s="1353"/>
      <c r="H588" s="1353">
        <v>1700</v>
      </c>
      <c r="I588" s="1353"/>
      <c r="J588" s="1354"/>
      <c r="K588" s="416"/>
    </row>
    <row r="589" spans="1:11" s="418" customFormat="1" ht="15" customHeight="1">
      <c r="A589" s="1809"/>
      <c r="B589" s="1827"/>
      <c r="C589" s="1818"/>
      <c r="D589" s="1818"/>
      <c r="E589" s="1352" t="s">
        <v>441</v>
      </c>
      <c r="F589" s="1353">
        <f t="shared" si="59"/>
        <v>300</v>
      </c>
      <c r="G589" s="1353"/>
      <c r="H589" s="1353"/>
      <c r="I589" s="1353">
        <v>300</v>
      </c>
      <c r="J589" s="1354"/>
      <c r="K589" s="416"/>
    </row>
    <row r="590" spans="1:11" s="418" customFormat="1" ht="15" customHeight="1">
      <c r="A590" s="1809"/>
      <c r="B590" s="1827"/>
      <c r="C590" s="1818"/>
      <c r="D590" s="1818"/>
      <c r="E590" s="1352" t="s">
        <v>343</v>
      </c>
      <c r="F590" s="1353">
        <f t="shared" si="59"/>
        <v>296650</v>
      </c>
      <c r="G590" s="1353"/>
      <c r="H590" s="1353">
        <v>296650</v>
      </c>
      <c r="I590" s="1353"/>
      <c r="J590" s="1354"/>
      <c r="K590" s="416"/>
    </row>
    <row r="591" spans="1:11" s="418" customFormat="1" ht="15" customHeight="1">
      <c r="A591" s="1809"/>
      <c r="B591" s="1827"/>
      <c r="C591" s="1818"/>
      <c r="D591" s="1818"/>
      <c r="E591" s="1352" t="s">
        <v>344</v>
      </c>
      <c r="F591" s="1353">
        <f t="shared" si="59"/>
        <v>52350</v>
      </c>
      <c r="G591" s="1353"/>
      <c r="H591" s="1353"/>
      <c r="I591" s="1353">
        <v>52350</v>
      </c>
      <c r="J591" s="1354"/>
      <c r="K591" s="416"/>
    </row>
    <row r="592" spans="1:11" s="418" customFormat="1" ht="15" customHeight="1">
      <c r="A592" s="1809"/>
      <c r="B592" s="1827"/>
      <c r="C592" s="1818"/>
      <c r="D592" s="1818"/>
      <c r="E592" s="1352" t="s">
        <v>471</v>
      </c>
      <c r="F592" s="1353">
        <f t="shared" si="59"/>
        <v>6800</v>
      </c>
      <c r="G592" s="1353"/>
      <c r="H592" s="1353">
        <v>6800</v>
      </c>
      <c r="I592" s="1353"/>
      <c r="J592" s="1354"/>
      <c r="K592" s="416"/>
    </row>
    <row r="593" spans="1:11" s="418" customFormat="1" ht="15" customHeight="1">
      <c r="A593" s="1809"/>
      <c r="B593" s="1827"/>
      <c r="C593" s="1818"/>
      <c r="D593" s="1818"/>
      <c r="E593" s="1352" t="s">
        <v>426</v>
      </c>
      <c r="F593" s="1353">
        <f t="shared" si="59"/>
        <v>1200</v>
      </c>
      <c r="G593" s="1353"/>
      <c r="H593" s="1353"/>
      <c r="I593" s="1353">
        <v>1200</v>
      </c>
      <c r="J593" s="1354"/>
      <c r="K593" s="416"/>
    </row>
    <row r="594" spans="1:11" s="418" customFormat="1" ht="15" customHeight="1">
      <c r="A594" s="1809"/>
      <c r="B594" s="1827"/>
      <c r="C594" s="1818"/>
      <c r="D594" s="1818"/>
      <c r="E594" s="1352" t="s">
        <v>358</v>
      </c>
      <c r="F594" s="1353">
        <f t="shared" si="59"/>
        <v>4250</v>
      </c>
      <c r="G594" s="1353"/>
      <c r="H594" s="1353">
        <v>4250</v>
      </c>
      <c r="I594" s="1353"/>
      <c r="J594" s="1354"/>
      <c r="K594" s="416"/>
    </row>
    <row r="595" spans="1:11" s="418" customFormat="1" ht="15" customHeight="1">
      <c r="A595" s="1809"/>
      <c r="B595" s="1827"/>
      <c r="C595" s="1818"/>
      <c r="D595" s="1818"/>
      <c r="E595" s="1352" t="s">
        <v>359</v>
      </c>
      <c r="F595" s="1353">
        <f t="shared" si="59"/>
        <v>750</v>
      </c>
      <c r="G595" s="1353"/>
      <c r="H595" s="1353"/>
      <c r="I595" s="1353">
        <v>750</v>
      </c>
      <c r="J595" s="1354"/>
      <c r="K595" s="416"/>
    </row>
    <row r="596" spans="1:11" s="418" customFormat="1" ht="15" customHeight="1">
      <c r="A596" s="1809"/>
      <c r="B596" s="1827"/>
      <c r="C596" s="1818"/>
      <c r="D596" s="1818"/>
      <c r="E596" s="1352" t="s">
        <v>472</v>
      </c>
      <c r="F596" s="1353">
        <f t="shared" si="59"/>
        <v>17000</v>
      </c>
      <c r="G596" s="1353"/>
      <c r="H596" s="1353">
        <v>17000</v>
      </c>
      <c r="I596" s="1353"/>
      <c r="J596" s="1354"/>
      <c r="K596" s="416"/>
    </row>
    <row r="597" spans="1:11" s="418" customFormat="1" ht="15" customHeight="1">
      <c r="A597" s="1809"/>
      <c r="B597" s="1827"/>
      <c r="C597" s="1818"/>
      <c r="D597" s="1818"/>
      <c r="E597" s="1352" t="s">
        <v>475</v>
      </c>
      <c r="F597" s="1353">
        <f t="shared" si="59"/>
        <v>3000</v>
      </c>
      <c r="G597" s="1353"/>
      <c r="H597" s="1353"/>
      <c r="I597" s="1353">
        <v>3000</v>
      </c>
      <c r="J597" s="1354"/>
      <c r="K597" s="416"/>
    </row>
    <row r="598" spans="1:11" s="418" customFormat="1" ht="15" customHeight="1">
      <c r="A598" s="1809"/>
      <c r="B598" s="1827"/>
      <c r="C598" s="1818"/>
      <c r="D598" s="1818"/>
      <c r="E598" s="1352" t="s">
        <v>345</v>
      </c>
      <c r="F598" s="1353">
        <f t="shared" si="59"/>
        <v>9932</v>
      </c>
      <c r="G598" s="1353"/>
      <c r="H598" s="1353">
        <v>9932</v>
      </c>
      <c r="I598" s="1353"/>
      <c r="J598" s="1354"/>
      <c r="K598" s="416"/>
    </row>
    <row r="599" spans="1:11" s="418" customFormat="1" ht="15" customHeight="1">
      <c r="A599" s="1809"/>
      <c r="B599" s="1827"/>
      <c r="C599" s="1818"/>
      <c r="D599" s="1818"/>
      <c r="E599" s="1352" t="s">
        <v>346</v>
      </c>
      <c r="F599" s="1353">
        <f t="shared" si="59"/>
        <v>1753</v>
      </c>
      <c r="G599" s="1353"/>
      <c r="H599" s="1353"/>
      <c r="I599" s="1353">
        <v>1753</v>
      </c>
      <c r="J599" s="1354"/>
      <c r="K599" s="416"/>
    </row>
    <row r="600" spans="1:11" s="418" customFormat="1" ht="15" customHeight="1">
      <c r="A600" s="1809"/>
      <c r="B600" s="1827"/>
      <c r="C600" s="1818"/>
      <c r="D600" s="1818"/>
      <c r="E600" s="1352" t="s">
        <v>378</v>
      </c>
      <c r="F600" s="1353">
        <f t="shared" si="59"/>
        <v>1275</v>
      </c>
      <c r="G600" s="1353"/>
      <c r="H600" s="1353">
        <v>1275</v>
      </c>
      <c r="I600" s="1353"/>
      <c r="J600" s="1354"/>
      <c r="K600" s="416"/>
    </row>
    <row r="601" spans="1:11" s="418" customFormat="1" ht="15" customHeight="1">
      <c r="A601" s="1809"/>
      <c r="B601" s="1827"/>
      <c r="C601" s="1818"/>
      <c r="D601" s="1818"/>
      <c r="E601" s="1352" t="s">
        <v>379</v>
      </c>
      <c r="F601" s="1353">
        <f t="shared" si="59"/>
        <v>225</v>
      </c>
      <c r="G601" s="1353"/>
      <c r="H601" s="1353"/>
      <c r="I601" s="1353">
        <v>225</v>
      </c>
      <c r="J601" s="1354"/>
      <c r="K601" s="416"/>
    </row>
    <row r="602" spans="1:11" s="418" customFormat="1" ht="15" customHeight="1">
      <c r="A602" s="1809"/>
      <c r="B602" s="1827"/>
      <c r="C602" s="1818"/>
      <c r="D602" s="1818"/>
      <c r="E602" s="1352" t="s">
        <v>380</v>
      </c>
      <c r="F602" s="1353">
        <f t="shared" si="59"/>
        <v>91800</v>
      </c>
      <c r="G602" s="1353"/>
      <c r="H602" s="1353">
        <v>91800</v>
      </c>
      <c r="I602" s="1353"/>
      <c r="J602" s="1354"/>
      <c r="K602" s="416"/>
    </row>
    <row r="603" spans="1:11" s="418" customFormat="1" ht="15" customHeight="1">
      <c r="A603" s="1809"/>
      <c r="B603" s="1827"/>
      <c r="C603" s="1818"/>
      <c r="D603" s="1818"/>
      <c r="E603" s="1352" t="s">
        <v>381</v>
      </c>
      <c r="F603" s="1353">
        <f t="shared" si="59"/>
        <v>16200</v>
      </c>
      <c r="G603" s="1353"/>
      <c r="H603" s="1353"/>
      <c r="I603" s="1353">
        <v>16200</v>
      </c>
      <c r="J603" s="1354"/>
      <c r="K603" s="416"/>
    </row>
    <row r="604" spans="1:11" s="418" customFormat="1" ht="19.5" customHeight="1">
      <c r="A604" s="1809"/>
      <c r="B604" s="1827"/>
      <c r="C604" s="1818"/>
      <c r="D604" s="1818"/>
      <c r="E604" s="1355" t="s">
        <v>324</v>
      </c>
      <c r="F604" s="1347">
        <f>SUM(F605:F606)</f>
        <v>0</v>
      </c>
      <c r="G604" s="1347">
        <f>SUM(G605:G606)</f>
        <v>0</v>
      </c>
      <c r="H604" s="1347">
        <f>SUM(H605:H606)</f>
        <v>0</v>
      </c>
      <c r="I604" s="1347">
        <f>SUM(I605:I606)</f>
        <v>0</v>
      </c>
      <c r="J604" s="1348">
        <f>SUM(J605:J606)</f>
        <v>0</v>
      </c>
      <c r="K604" s="416"/>
    </row>
    <row r="605" spans="1:11" s="418" customFormat="1" ht="15" hidden="1" customHeight="1">
      <c r="A605" s="1809"/>
      <c r="B605" s="1827"/>
      <c r="C605" s="1818"/>
      <c r="D605" s="1818"/>
      <c r="E605" s="1212" t="s">
        <v>382</v>
      </c>
      <c r="F605" s="427">
        <f>SUM(G605:J605)</f>
        <v>0</v>
      </c>
      <c r="G605" s="427"/>
      <c r="H605" s="427"/>
      <c r="I605" s="427"/>
      <c r="J605" s="1382"/>
      <c r="K605" s="416"/>
    </row>
    <row r="606" spans="1:11" s="418" customFormat="1" ht="15" hidden="1" customHeight="1">
      <c r="A606" s="1810"/>
      <c r="B606" s="1828"/>
      <c r="C606" s="1819"/>
      <c r="D606" s="1819"/>
      <c r="E606" s="1356">
        <v>6069</v>
      </c>
      <c r="F606" s="1357">
        <f>SUM(G606:J606)</f>
        <v>0</v>
      </c>
      <c r="G606" s="1357"/>
      <c r="H606" s="1357"/>
      <c r="I606" s="1357"/>
      <c r="J606" s="1373"/>
      <c r="K606" s="416"/>
    </row>
    <row r="607" spans="1:11" s="418" customFormat="1" ht="22.5">
      <c r="A607" s="1809" t="s">
        <v>476</v>
      </c>
      <c r="B607" s="1827" t="s">
        <v>477</v>
      </c>
      <c r="C607" s="1818" t="s">
        <v>4</v>
      </c>
      <c r="D607" s="1818" t="s">
        <v>271</v>
      </c>
      <c r="E607" s="1340" t="s">
        <v>322</v>
      </c>
      <c r="F607" s="1341">
        <f>SUM(F608,F628)</f>
        <v>556000</v>
      </c>
      <c r="G607" s="1341">
        <f>SUM(G608,G628)</f>
        <v>0</v>
      </c>
      <c r="H607" s="1341">
        <f>SUM(H608,H628)</f>
        <v>472600</v>
      </c>
      <c r="I607" s="1341">
        <f>SUM(I608,I628)</f>
        <v>83400</v>
      </c>
      <c r="J607" s="1342">
        <f>SUM(J608,J628)</f>
        <v>0</v>
      </c>
      <c r="K607" s="416"/>
    </row>
    <row r="608" spans="1:11" s="418" customFormat="1" ht="21">
      <c r="A608" s="1809"/>
      <c r="B608" s="1827"/>
      <c r="C608" s="1818"/>
      <c r="D608" s="1818"/>
      <c r="E608" s="1346" t="s">
        <v>334</v>
      </c>
      <c r="F608" s="1347">
        <f>SUM(F609,F612,F623)</f>
        <v>556000</v>
      </c>
      <c r="G608" s="1347">
        <f>SUM(G609,G612,G623)</f>
        <v>0</v>
      </c>
      <c r="H608" s="1347">
        <f>SUM(H609,H612,H623)</f>
        <v>472600</v>
      </c>
      <c r="I608" s="1347">
        <f>SUM(I609,I612,I623)</f>
        <v>83400</v>
      </c>
      <c r="J608" s="1348">
        <f>SUM(J609,J612,J623)</f>
        <v>0</v>
      </c>
      <c r="K608" s="416"/>
    </row>
    <row r="609" spans="1:11" s="418" customFormat="1" ht="22.5">
      <c r="A609" s="1809"/>
      <c r="B609" s="1827"/>
      <c r="C609" s="1818"/>
      <c r="D609" s="1818"/>
      <c r="E609" s="1349" t="s">
        <v>478</v>
      </c>
      <c r="F609" s="1350">
        <f>SUM(F610:F611)</f>
        <v>556000</v>
      </c>
      <c r="G609" s="1350">
        <f t="shared" ref="G609:J609" si="60">SUM(G610:G611)</f>
        <v>0</v>
      </c>
      <c r="H609" s="1350">
        <f t="shared" si="60"/>
        <v>472600</v>
      </c>
      <c r="I609" s="1350">
        <f t="shared" si="60"/>
        <v>83400</v>
      </c>
      <c r="J609" s="1351">
        <f t="shared" si="60"/>
        <v>0</v>
      </c>
      <c r="K609" s="416"/>
    </row>
    <row r="610" spans="1:11" s="418" customFormat="1" ht="15" customHeight="1">
      <c r="A610" s="1809"/>
      <c r="B610" s="1827"/>
      <c r="C610" s="1818"/>
      <c r="D610" s="1818"/>
      <c r="E610" s="1352" t="s">
        <v>434</v>
      </c>
      <c r="F610" s="1353">
        <f t="shared" ref="F610:F611" si="61">SUM(G610:J610)</f>
        <v>472600</v>
      </c>
      <c r="G610" s="1353"/>
      <c r="H610" s="1353">
        <v>472600</v>
      </c>
      <c r="I610" s="1353"/>
      <c r="J610" s="1354"/>
      <c r="K610" s="416"/>
    </row>
    <row r="611" spans="1:11" s="418" customFormat="1" ht="15" customHeight="1">
      <c r="A611" s="1809"/>
      <c r="B611" s="1827"/>
      <c r="C611" s="1818"/>
      <c r="D611" s="1818"/>
      <c r="E611" s="1352" t="s">
        <v>435</v>
      </c>
      <c r="F611" s="1353">
        <f t="shared" si="61"/>
        <v>83400</v>
      </c>
      <c r="G611" s="1353"/>
      <c r="H611" s="1353"/>
      <c r="I611" s="1353">
        <v>83400</v>
      </c>
      <c r="J611" s="1354"/>
      <c r="K611" s="416"/>
    </row>
    <row r="612" spans="1:11" s="418" customFormat="1" ht="22.5" hidden="1">
      <c r="A612" s="1809"/>
      <c r="B612" s="1827"/>
      <c r="C612" s="1818"/>
      <c r="D612" s="1818"/>
      <c r="E612" s="1349" t="s">
        <v>335</v>
      </c>
      <c r="F612" s="1350">
        <f>SUM(F613:F622)</f>
        <v>0</v>
      </c>
      <c r="G612" s="1350">
        <f>SUM(G613:G622)</f>
        <v>0</v>
      </c>
      <c r="H612" s="1350">
        <f>SUM(H613:H622)</f>
        <v>0</v>
      </c>
      <c r="I612" s="1350">
        <f>SUM(I613:I622)</f>
        <v>0</v>
      </c>
      <c r="J612" s="1351">
        <f>SUM(J613:J622)</f>
        <v>0</v>
      </c>
      <c r="K612" s="416"/>
    </row>
    <row r="613" spans="1:11" s="418" customFormat="1" ht="15" hidden="1" customHeight="1">
      <c r="A613" s="1809"/>
      <c r="B613" s="1827"/>
      <c r="C613" s="1818"/>
      <c r="D613" s="1818"/>
      <c r="E613" s="1352" t="s">
        <v>362</v>
      </c>
      <c r="F613" s="1353">
        <f t="shared" ref="F613:F622" si="62">SUM(G613:J613)</f>
        <v>0</v>
      </c>
      <c r="G613" s="1353"/>
      <c r="H613" s="1353"/>
      <c r="I613" s="1353"/>
      <c r="J613" s="1354"/>
      <c r="K613" s="416"/>
    </row>
    <row r="614" spans="1:11" s="418" customFormat="1" ht="15" hidden="1" customHeight="1">
      <c r="A614" s="1809"/>
      <c r="B614" s="1827"/>
      <c r="C614" s="1818"/>
      <c r="D614" s="1818"/>
      <c r="E614" s="1352" t="s">
        <v>363</v>
      </c>
      <c r="F614" s="1353">
        <f t="shared" si="62"/>
        <v>0</v>
      </c>
      <c r="G614" s="1353"/>
      <c r="H614" s="1353"/>
      <c r="I614" s="1353"/>
      <c r="J614" s="1354"/>
      <c r="K614" s="416"/>
    </row>
    <row r="615" spans="1:11" s="418" customFormat="1" ht="15" hidden="1" customHeight="1">
      <c r="A615" s="1809"/>
      <c r="B615" s="1827"/>
      <c r="C615" s="1818"/>
      <c r="D615" s="1818"/>
      <c r="E615" s="1352" t="s">
        <v>364</v>
      </c>
      <c r="F615" s="1353">
        <f t="shared" si="62"/>
        <v>0</v>
      </c>
      <c r="G615" s="1353"/>
      <c r="H615" s="1353"/>
      <c r="I615" s="1353"/>
      <c r="J615" s="1354"/>
      <c r="K615" s="416"/>
    </row>
    <row r="616" spans="1:11" s="418" customFormat="1" ht="15" hidden="1" customHeight="1">
      <c r="A616" s="1809"/>
      <c r="B616" s="1827"/>
      <c r="C616" s="1818"/>
      <c r="D616" s="1818"/>
      <c r="E616" s="1352" t="s">
        <v>365</v>
      </c>
      <c r="F616" s="1353">
        <f t="shared" si="62"/>
        <v>0</v>
      </c>
      <c r="G616" s="1353"/>
      <c r="H616" s="1353"/>
      <c r="I616" s="1353"/>
      <c r="J616" s="1354"/>
      <c r="K616" s="416"/>
    </row>
    <row r="617" spans="1:11" s="418" customFormat="1" ht="15" hidden="1" customHeight="1">
      <c r="A617" s="1809"/>
      <c r="B617" s="1827"/>
      <c r="C617" s="1818"/>
      <c r="D617" s="1818"/>
      <c r="E617" s="1352" t="s">
        <v>336</v>
      </c>
      <c r="F617" s="1353">
        <f t="shared" si="62"/>
        <v>0</v>
      </c>
      <c r="G617" s="1353"/>
      <c r="H617" s="1353"/>
      <c r="I617" s="1353"/>
      <c r="J617" s="1354"/>
      <c r="K617" s="416"/>
    </row>
    <row r="618" spans="1:11" s="418" customFormat="1" ht="15" hidden="1" customHeight="1">
      <c r="A618" s="1809"/>
      <c r="B618" s="1827"/>
      <c r="C618" s="1818"/>
      <c r="D618" s="1818"/>
      <c r="E618" s="1352" t="s">
        <v>337</v>
      </c>
      <c r="F618" s="1353">
        <f t="shared" si="62"/>
        <v>0</v>
      </c>
      <c r="G618" s="1353"/>
      <c r="H618" s="1353"/>
      <c r="I618" s="1353"/>
      <c r="J618" s="1354"/>
      <c r="K618" s="416"/>
    </row>
    <row r="619" spans="1:11" s="418" customFormat="1" ht="15" hidden="1" customHeight="1">
      <c r="A619" s="1809"/>
      <c r="B619" s="1827"/>
      <c r="C619" s="1818"/>
      <c r="D619" s="1818"/>
      <c r="E619" s="1352" t="s">
        <v>366</v>
      </c>
      <c r="F619" s="1353">
        <f t="shared" si="62"/>
        <v>0</v>
      </c>
      <c r="G619" s="1353"/>
      <c r="H619" s="1353"/>
      <c r="I619" s="1353"/>
      <c r="J619" s="1354"/>
      <c r="K619" s="416"/>
    </row>
    <row r="620" spans="1:11" s="418" customFormat="1" ht="15" hidden="1" customHeight="1">
      <c r="A620" s="1809"/>
      <c r="B620" s="1827"/>
      <c r="C620" s="1818"/>
      <c r="D620" s="1818"/>
      <c r="E620" s="1352" t="s">
        <v>367</v>
      </c>
      <c r="F620" s="1353">
        <f t="shared" si="62"/>
        <v>0</v>
      </c>
      <c r="G620" s="1353"/>
      <c r="H620" s="1353"/>
      <c r="I620" s="1353"/>
      <c r="J620" s="1354"/>
      <c r="K620" s="416"/>
    </row>
    <row r="621" spans="1:11" s="418" customFormat="1" ht="15" hidden="1" customHeight="1">
      <c r="A621" s="1809"/>
      <c r="B621" s="1827"/>
      <c r="C621" s="1818"/>
      <c r="D621" s="1818"/>
      <c r="E621" s="1352" t="s">
        <v>338</v>
      </c>
      <c r="F621" s="1353">
        <f t="shared" si="62"/>
        <v>0</v>
      </c>
      <c r="G621" s="1353"/>
      <c r="H621" s="1353"/>
      <c r="I621" s="1353"/>
      <c r="J621" s="1354"/>
      <c r="K621" s="416"/>
    </row>
    <row r="622" spans="1:11" s="418" customFormat="1" ht="15" hidden="1" customHeight="1">
      <c r="A622" s="1809"/>
      <c r="B622" s="1827"/>
      <c r="C622" s="1818"/>
      <c r="D622" s="1818"/>
      <c r="E622" s="1352" t="s">
        <v>339</v>
      </c>
      <c r="F622" s="1353">
        <f t="shared" si="62"/>
        <v>0</v>
      </c>
      <c r="G622" s="1353"/>
      <c r="H622" s="1353"/>
      <c r="I622" s="1353"/>
      <c r="J622" s="1354"/>
      <c r="K622" s="416"/>
    </row>
    <row r="623" spans="1:11" s="418" customFormat="1" ht="24.95" hidden="1" customHeight="1">
      <c r="A623" s="1809"/>
      <c r="B623" s="1827"/>
      <c r="C623" s="1818"/>
      <c r="D623" s="1818"/>
      <c r="E623" s="1349" t="s">
        <v>340</v>
      </c>
      <c r="F623" s="1350">
        <f>SUM(F624:F627)</f>
        <v>0</v>
      </c>
      <c r="G623" s="1350">
        <f>SUM(G624:G627)</f>
        <v>0</v>
      </c>
      <c r="H623" s="1350">
        <f>SUM(H624:H627)</f>
        <v>0</v>
      </c>
      <c r="I623" s="1350">
        <f>SUM(I624:I627)</f>
        <v>0</v>
      </c>
      <c r="J623" s="1351">
        <f>SUM(J624:J627)</f>
        <v>0</v>
      </c>
      <c r="K623" s="416"/>
    </row>
    <row r="624" spans="1:11" s="418" customFormat="1" ht="15" hidden="1" customHeight="1">
      <c r="A624" s="1809"/>
      <c r="B624" s="1827"/>
      <c r="C624" s="1818"/>
      <c r="D624" s="1818"/>
      <c r="E624" s="1352" t="s">
        <v>341</v>
      </c>
      <c r="F624" s="1353">
        <f t="shared" ref="F624:F627" si="63">SUM(G624:J624)</f>
        <v>0</v>
      </c>
      <c r="G624" s="1353"/>
      <c r="H624" s="1353"/>
      <c r="I624" s="1353"/>
      <c r="J624" s="1354"/>
      <c r="K624" s="416"/>
    </row>
    <row r="625" spans="1:226" s="418" customFormat="1" ht="15" hidden="1" customHeight="1">
      <c r="A625" s="1809"/>
      <c r="B625" s="1827"/>
      <c r="C625" s="1818"/>
      <c r="D625" s="1818"/>
      <c r="E625" s="1352" t="s">
        <v>342</v>
      </c>
      <c r="F625" s="1353">
        <f t="shared" si="63"/>
        <v>0</v>
      </c>
      <c r="G625" s="1353"/>
      <c r="H625" s="1353"/>
      <c r="I625" s="1353"/>
      <c r="J625" s="1354"/>
      <c r="K625" s="416"/>
    </row>
    <row r="626" spans="1:226" s="418" customFormat="1" ht="15" hidden="1" customHeight="1">
      <c r="A626" s="1809"/>
      <c r="B626" s="1827"/>
      <c r="C626" s="1818"/>
      <c r="D626" s="1818"/>
      <c r="E626" s="1352" t="s">
        <v>343</v>
      </c>
      <c r="F626" s="1353">
        <f t="shared" si="63"/>
        <v>0</v>
      </c>
      <c r="G626" s="1353"/>
      <c r="H626" s="1353"/>
      <c r="I626" s="1353"/>
      <c r="J626" s="1354"/>
      <c r="K626" s="416"/>
    </row>
    <row r="627" spans="1:226" s="418" customFormat="1" ht="15" hidden="1" customHeight="1">
      <c r="A627" s="1809"/>
      <c r="B627" s="1827"/>
      <c r="C627" s="1818"/>
      <c r="D627" s="1818"/>
      <c r="E627" s="1352" t="s">
        <v>344</v>
      </c>
      <c r="F627" s="1353">
        <f t="shared" si="63"/>
        <v>0</v>
      </c>
      <c r="G627" s="1353"/>
      <c r="H627" s="1353"/>
      <c r="I627" s="1353"/>
      <c r="J627" s="1354"/>
      <c r="K627" s="416"/>
    </row>
    <row r="628" spans="1:226" s="418" customFormat="1" ht="15.75" customHeight="1" thickBot="1">
      <c r="A628" s="1809"/>
      <c r="B628" s="1827"/>
      <c r="C628" s="1818"/>
      <c r="D628" s="1818"/>
      <c r="E628" s="1355" t="s">
        <v>324</v>
      </c>
      <c r="F628" s="1347">
        <f>SUM(F629:F630)</f>
        <v>0</v>
      </c>
      <c r="G628" s="1347">
        <f>SUM(G629:G630)</f>
        <v>0</v>
      </c>
      <c r="H628" s="1347">
        <f>SUM(H629:H630)</f>
        <v>0</v>
      </c>
      <c r="I628" s="1347">
        <f>SUM(I629:I630)</f>
        <v>0</v>
      </c>
      <c r="J628" s="1348">
        <f>SUM(J629:J630)</f>
        <v>0</v>
      </c>
      <c r="K628" s="416"/>
    </row>
    <row r="629" spans="1:226" s="418" customFormat="1" ht="15" hidden="1" customHeight="1">
      <c r="A629" s="1809"/>
      <c r="B629" s="1827"/>
      <c r="C629" s="1818"/>
      <c r="D629" s="1818"/>
      <c r="E629" s="1352" t="s">
        <v>382</v>
      </c>
      <c r="F629" s="1353">
        <f>SUM(G629:J629)</f>
        <v>0</v>
      </c>
      <c r="G629" s="1353"/>
      <c r="H629" s="1353"/>
      <c r="I629" s="1353"/>
      <c r="J629" s="1354"/>
      <c r="K629" s="416"/>
    </row>
    <row r="630" spans="1:226" s="418" customFormat="1" ht="15" hidden="1" customHeight="1">
      <c r="A630" s="1809"/>
      <c r="B630" s="1827"/>
      <c r="C630" s="1818"/>
      <c r="D630" s="1818"/>
      <c r="E630" s="1358">
        <v>6069</v>
      </c>
      <c r="F630" s="1359">
        <f>SUM(G630:J630)</f>
        <v>0</v>
      </c>
      <c r="G630" s="1359"/>
      <c r="H630" s="1359"/>
      <c r="I630" s="1359"/>
      <c r="J630" s="1360"/>
      <c r="K630" s="416"/>
    </row>
    <row r="631" spans="1:226" s="429" customFormat="1" ht="24.95" customHeight="1" thickBot="1">
      <c r="A631" s="414" t="s">
        <v>479</v>
      </c>
      <c r="B631" s="1768" t="s">
        <v>480</v>
      </c>
      <c r="C631" s="1768"/>
      <c r="D631" s="1768"/>
      <c r="E631" s="1768"/>
      <c r="F631" s="1407">
        <f>F633+F648+F663+F678+F693+F708+F723+F738+F753+F768+F783+F798+F813+F828+F843+F858+F873+F888+F903+F918+F933+F948+F963+F978+F993+F1008+F1023</f>
        <v>563018527</v>
      </c>
      <c r="G631" s="1407">
        <f t="shared" ref="G631:J631" si="64">G633+G648+G663+G678+G693+G708+G723+G738+G753+G768+G783+G798+G813+G828+G843+G858+G873+G888+G903+G918+G933+G948+G963+G978+G993+G1008+G1023</f>
        <v>94551545</v>
      </c>
      <c r="H631" s="1407">
        <f t="shared" si="64"/>
        <v>445166089</v>
      </c>
      <c r="I631" s="1407">
        <f t="shared" si="64"/>
        <v>15379080</v>
      </c>
      <c r="J631" s="1408">
        <f t="shared" si="64"/>
        <v>7921813</v>
      </c>
      <c r="K631" s="428"/>
      <c r="L631" s="428"/>
      <c r="M631" s="428"/>
      <c r="N631" s="428"/>
      <c r="O631" s="428"/>
      <c r="P631" s="428"/>
      <c r="Q631" s="428"/>
      <c r="R631" s="428"/>
      <c r="S631" s="428"/>
      <c r="T631" s="428"/>
      <c r="U631" s="428"/>
      <c r="V631" s="428"/>
      <c r="W631" s="428"/>
      <c r="X631" s="428"/>
      <c r="Y631" s="428"/>
      <c r="Z631" s="428"/>
      <c r="AA631" s="428"/>
      <c r="AB631" s="428"/>
      <c r="AC631" s="428"/>
      <c r="AD631" s="428"/>
      <c r="AE631" s="428"/>
      <c r="AF631" s="428"/>
      <c r="AG631" s="428"/>
      <c r="AH631" s="428"/>
      <c r="AI631" s="428"/>
      <c r="AJ631" s="428"/>
      <c r="AK631" s="428"/>
      <c r="AL631" s="428"/>
      <c r="AM631" s="428"/>
      <c r="AN631" s="428"/>
      <c r="AO631" s="428"/>
      <c r="AP631" s="428"/>
      <c r="AQ631" s="428"/>
      <c r="AR631" s="428"/>
      <c r="AS631" s="428"/>
      <c r="AT631" s="428"/>
      <c r="AU631" s="428"/>
      <c r="AV631" s="428"/>
      <c r="AW631" s="428"/>
      <c r="AX631" s="428"/>
      <c r="AY631" s="428"/>
      <c r="AZ631" s="428"/>
      <c r="BA631" s="428"/>
      <c r="BB631" s="428"/>
      <c r="BC631" s="428"/>
      <c r="BD631" s="428"/>
      <c r="BE631" s="428"/>
      <c r="BF631" s="428"/>
      <c r="BG631" s="428"/>
      <c r="BH631" s="428"/>
      <c r="BI631" s="428"/>
      <c r="BJ631" s="428"/>
      <c r="BK631" s="428"/>
      <c r="BL631" s="428"/>
      <c r="BM631" s="428"/>
      <c r="BN631" s="428"/>
      <c r="BO631" s="428"/>
      <c r="BP631" s="428"/>
      <c r="BQ631" s="428"/>
      <c r="BR631" s="428"/>
      <c r="BS631" s="428"/>
      <c r="BT631" s="428"/>
      <c r="BU631" s="428"/>
      <c r="BV631" s="428"/>
      <c r="BW631" s="428"/>
      <c r="BX631" s="428"/>
      <c r="BY631" s="428"/>
      <c r="BZ631" s="428"/>
      <c r="CA631" s="428"/>
      <c r="CB631" s="428"/>
      <c r="CC631" s="428"/>
      <c r="CD631" s="428"/>
      <c r="CE631" s="428"/>
      <c r="CF631" s="428"/>
      <c r="CG631" s="428"/>
      <c r="CH631" s="428"/>
      <c r="CI631" s="428"/>
      <c r="CJ631" s="428"/>
      <c r="CK631" s="428"/>
      <c r="CL631" s="428"/>
      <c r="CM631" s="428"/>
      <c r="CN631" s="428"/>
      <c r="CO631" s="428"/>
      <c r="CP631" s="428"/>
      <c r="CQ631" s="428"/>
      <c r="CR631" s="428"/>
      <c r="CS631" s="428"/>
      <c r="CT631" s="428"/>
      <c r="CU631" s="428"/>
      <c r="CV631" s="428"/>
      <c r="CW631" s="428"/>
      <c r="CX631" s="428"/>
      <c r="CY631" s="428"/>
      <c r="CZ631" s="428"/>
      <c r="DA631" s="428"/>
      <c r="DB631" s="428"/>
      <c r="DC631" s="428"/>
      <c r="DD631" s="428"/>
      <c r="DE631" s="428"/>
      <c r="DF631" s="428"/>
      <c r="DG631" s="428"/>
      <c r="DH631" s="428"/>
      <c r="DI631" s="428"/>
      <c r="DJ631" s="428"/>
      <c r="DK631" s="428"/>
      <c r="DL631" s="428"/>
      <c r="DM631" s="428"/>
      <c r="DN631" s="428"/>
      <c r="DO631" s="428"/>
      <c r="DP631" s="428"/>
      <c r="DQ631" s="428"/>
      <c r="DR631" s="428"/>
      <c r="DS631" s="428"/>
      <c r="DT631" s="428"/>
      <c r="DU631" s="428"/>
      <c r="DV631" s="428"/>
      <c r="DW631" s="428"/>
      <c r="DX631" s="428"/>
      <c r="DY631" s="428"/>
      <c r="DZ631" s="428"/>
      <c r="EA631" s="428"/>
      <c r="EB631" s="428"/>
      <c r="EC631" s="428"/>
      <c r="ED631" s="428"/>
      <c r="EE631" s="428"/>
      <c r="EF631" s="428"/>
      <c r="EG631" s="428"/>
      <c r="EH631" s="428"/>
      <c r="EI631" s="428"/>
      <c r="EJ631" s="428"/>
      <c r="EK631" s="428"/>
      <c r="EL631" s="428"/>
      <c r="EM631" s="428"/>
      <c r="EN631" s="428"/>
      <c r="EO631" s="428"/>
      <c r="EP631" s="428"/>
      <c r="EQ631" s="428"/>
      <c r="ER631" s="428"/>
      <c r="ES631" s="428"/>
      <c r="ET631" s="428"/>
      <c r="EU631" s="428"/>
      <c r="EV631" s="428"/>
      <c r="EW631" s="428"/>
      <c r="EX631" s="428"/>
      <c r="EY631" s="428"/>
      <c r="EZ631" s="428"/>
      <c r="FA631" s="428"/>
      <c r="FB631" s="428"/>
      <c r="FC631" s="428"/>
      <c r="FD631" s="428"/>
      <c r="FE631" s="428"/>
      <c r="FF631" s="428"/>
      <c r="FG631" s="428"/>
      <c r="FH631" s="428"/>
      <c r="FI631" s="428"/>
      <c r="FJ631" s="428"/>
      <c r="FK631" s="428"/>
      <c r="FL631" s="428"/>
      <c r="FM631" s="428"/>
      <c r="FN631" s="428"/>
      <c r="FO631" s="428"/>
      <c r="FP631" s="428"/>
      <c r="FQ631" s="428"/>
      <c r="FR631" s="428"/>
      <c r="FS631" s="428"/>
      <c r="FT631" s="428"/>
      <c r="FU631" s="428"/>
      <c r="FV631" s="428"/>
      <c r="FW631" s="428"/>
      <c r="FX631" s="428"/>
      <c r="FY631" s="428"/>
      <c r="FZ631" s="428"/>
      <c r="GA631" s="428"/>
      <c r="GB631" s="428"/>
      <c r="GC631" s="428"/>
      <c r="GD631" s="428"/>
      <c r="GE631" s="428"/>
      <c r="GF631" s="428"/>
      <c r="GG631" s="428"/>
      <c r="GH631" s="428"/>
      <c r="GI631" s="428"/>
      <c r="GJ631" s="428"/>
      <c r="GK631" s="428"/>
      <c r="GL631" s="428"/>
      <c r="GM631" s="428"/>
      <c r="GN631" s="428"/>
      <c r="GO631" s="428"/>
      <c r="GP631" s="428"/>
      <c r="GQ631" s="428"/>
      <c r="GR631" s="428"/>
      <c r="GS631" s="428"/>
      <c r="GT631" s="428"/>
      <c r="GU631" s="428"/>
      <c r="GV631" s="428"/>
      <c r="GW631" s="428"/>
      <c r="GX631" s="428"/>
      <c r="GY631" s="428"/>
      <c r="GZ631" s="428"/>
      <c r="HA631" s="428"/>
      <c r="HB631" s="428"/>
      <c r="HC631" s="428"/>
      <c r="HD631" s="428"/>
      <c r="HE631" s="428"/>
      <c r="HF631" s="428"/>
      <c r="HG631" s="428"/>
      <c r="HH631" s="428"/>
      <c r="HI631" s="428"/>
      <c r="HJ631" s="428"/>
      <c r="HK631" s="428"/>
      <c r="HL631" s="428"/>
      <c r="HM631" s="428"/>
      <c r="HN631" s="428"/>
      <c r="HO631" s="428"/>
      <c r="HP631" s="428"/>
      <c r="HQ631" s="428"/>
      <c r="HR631" s="428"/>
    </row>
    <row r="632" spans="1:226" s="418" customFormat="1" ht="15" customHeight="1" thickBot="1">
      <c r="A632" s="1834"/>
      <c r="B632" s="1835"/>
      <c r="C632" s="1835"/>
      <c r="D632" s="1835"/>
      <c r="E632" s="1835"/>
      <c r="F632" s="1835"/>
      <c r="G632" s="1835"/>
      <c r="H632" s="1835"/>
      <c r="I632" s="1835"/>
      <c r="J632" s="1836"/>
      <c r="K632" s="416"/>
    </row>
    <row r="633" spans="1:226" s="418" customFormat="1" ht="24.95" customHeight="1">
      <c r="A633" s="1808" t="s">
        <v>320</v>
      </c>
      <c r="B633" s="1826" t="s">
        <v>481</v>
      </c>
      <c r="C633" s="1814">
        <v>600</v>
      </c>
      <c r="D633" s="1817" t="s">
        <v>482</v>
      </c>
      <c r="E633" s="1361" t="s">
        <v>322</v>
      </c>
      <c r="F633" s="1362">
        <f>SUM(F634,F641)</f>
        <v>14869678</v>
      </c>
      <c r="G633" s="1362">
        <f>SUM(G634,G641)</f>
        <v>1000000</v>
      </c>
      <c r="H633" s="1362">
        <f>SUM(H634,H641)</f>
        <v>11789226</v>
      </c>
      <c r="I633" s="1362">
        <f>SUM(I634,I641)</f>
        <v>2080452</v>
      </c>
      <c r="J633" s="1363">
        <f>SUM(J634,J641)</f>
        <v>0</v>
      </c>
      <c r="K633" s="416"/>
      <c r="L633" s="419"/>
      <c r="M633" s="419"/>
      <c r="N633" s="419"/>
    </row>
    <row r="634" spans="1:226" s="418" customFormat="1" ht="24.95" customHeight="1">
      <c r="A634" s="1809"/>
      <c r="B634" s="1827"/>
      <c r="C634" s="1815"/>
      <c r="D634" s="1818"/>
      <c r="E634" s="1346" t="s">
        <v>323</v>
      </c>
      <c r="F634" s="1347">
        <f>SUM(F635,F638)</f>
        <v>0</v>
      </c>
      <c r="G634" s="1347">
        <f>SUM(G635,G638)</f>
        <v>0</v>
      </c>
      <c r="H634" s="1347">
        <f>SUM(H635,H638)</f>
        <v>0</v>
      </c>
      <c r="I634" s="1347">
        <f>SUM(I635,I638)</f>
        <v>0</v>
      </c>
      <c r="J634" s="1348">
        <f>SUM(J635,J638)</f>
        <v>0</v>
      </c>
      <c r="K634" s="416"/>
      <c r="L634" s="419"/>
      <c r="M634" s="419"/>
      <c r="N634" s="419"/>
    </row>
    <row r="635" spans="1:226" s="418" customFormat="1" ht="24.95" hidden="1" customHeight="1">
      <c r="A635" s="1809"/>
      <c r="B635" s="1827"/>
      <c r="C635" s="1815"/>
      <c r="D635" s="1818"/>
      <c r="E635" s="1349" t="s">
        <v>335</v>
      </c>
      <c r="F635" s="1350">
        <f>SUM(F636:F637)</f>
        <v>0</v>
      </c>
      <c r="G635" s="1350">
        <f>SUM(G636:G637)</f>
        <v>0</v>
      </c>
      <c r="H635" s="1350">
        <f>SUM(H636:H637)</f>
        <v>0</v>
      </c>
      <c r="I635" s="1350">
        <f>SUM(I636:I637)</f>
        <v>0</v>
      </c>
      <c r="J635" s="1351">
        <f>SUM(J636:J637)</f>
        <v>0</v>
      </c>
      <c r="K635" s="416"/>
    </row>
    <row r="636" spans="1:226" s="418" customFormat="1" ht="15" hidden="1" customHeight="1">
      <c r="A636" s="1809"/>
      <c r="B636" s="1827"/>
      <c r="C636" s="1815"/>
      <c r="D636" s="1818"/>
      <c r="E636" s="1352"/>
      <c r="F636" s="1353">
        <f>SUM(G636:J636)</f>
        <v>0</v>
      </c>
      <c r="G636" s="1353"/>
      <c r="H636" s="1353"/>
      <c r="I636" s="1353"/>
      <c r="J636" s="1354"/>
      <c r="K636" s="416"/>
    </row>
    <row r="637" spans="1:226" s="418" customFormat="1" ht="15" hidden="1" customHeight="1">
      <c r="A637" s="1809"/>
      <c r="B637" s="1827"/>
      <c r="C637" s="1815"/>
      <c r="D637" s="1818"/>
      <c r="E637" s="1352"/>
      <c r="F637" s="1353">
        <f>SUM(G637:J637)</f>
        <v>0</v>
      </c>
      <c r="G637" s="1353"/>
      <c r="H637" s="1353"/>
      <c r="I637" s="1353"/>
      <c r="J637" s="1354"/>
      <c r="K637" s="416"/>
    </row>
    <row r="638" spans="1:226" s="418" customFormat="1" ht="24.95" hidden="1" customHeight="1">
      <c r="A638" s="1809"/>
      <c r="B638" s="1827"/>
      <c r="C638" s="1815"/>
      <c r="D638" s="1818"/>
      <c r="E638" s="1349" t="s">
        <v>340</v>
      </c>
      <c r="F638" s="1350">
        <f>SUM(F639:F640)</f>
        <v>0</v>
      </c>
      <c r="G638" s="1350">
        <f>SUM(G639:G640)</f>
        <v>0</v>
      </c>
      <c r="H638" s="1350">
        <f>SUM(H639:H640)</f>
        <v>0</v>
      </c>
      <c r="I638" s="1350">
        <f>SUM(I639:I640)</f>
        <v>0</v>
      </c>
      <c r="J638" s="1351">
        <f>SUM(J639:J640)</f>
        <v>0</v>
      </c>
      <c r="K638" s="416"/>
    </row>
    <row r="639" spans="1:226" s="418" customFormat="1" ht="15" hidden="1" customHeight="1">
      <c r="A639" s="1809"/>
      <c r="B639" s="1827"/>
      <c r="C639" s="1815"/>
      <c r="D639" s="1818"/>
      <c r="E639" s="1352"/>
      <c r="F639" s="1353">
        <f>SUM(G639:J639)</f>
        <v>0</v>
      </c>
      <c r="G639" s="1353"/>
      <c r="H639" s="1353"/>
      <c r="I639" s="1353"/>
      <c r="J639" s="1354"/>
      <c r="K639" s="416"/>
    </row>
    <row r="640" spans="1:226" s="418" customFormat="1" ht="15" hidden="1" customHeight="1">
      <c r="A640" s="1809"/>
      <c r="B640" s="1827"/>
      <c r="C640" s="1815"/>
      <c r="D640" s="1818"/>
      <c r="E640" s="1352"/>
      <c r="F640" s="1353">
        <f>SUM(G640:J640)</f>
        <v>0</v>
      </c>
      <c r="G640" s="1353"/>
      <c r="H640" s="1353"/>
      <c r="I640" s="1353"/>
      <c r="J640" s="1354"/>
      <c r="K640" s="416"/>
    </row>
    <row r="641" spans="1:226" s="418" customFormat="1" ht="24.95" customHeight="1">
      <c r="A641" s="1809"/>
      <c r="B641" s="1827"/>
      <c r="C641" s="1815"/>
      <c r="D641" s="1818"/>
      <c r="E641" s="1355" t="s">
        <v>324</v>
      </c>
      <c r="F641" s="1347">
        <f>SUM(F642:F647)</f>
        <v>14869678</v>
      </c>
      <c r="G641" s="1347">
        <f>SUM(G642:G647)</f>
        <v>1000000</v>
      </c>
      <c r="H641" s="1347">
        <f>SUM(H642:H647)</f>
        <v>11789226</v>
      </c>
      <c r="I641" s="1347">
        <f>SUM(I642:I647)</f>
        <v>2080452</v>
      </c>
      <c r="J641" s="1348">
        <f>SUM(J642:J647)</f>
        <v>0</v>
      </c>
      <c r="K641" s="416"/>
      <c r="L641" s="419"/>
      <c r="M641" s="419"/>
      <c r="N641" s="419"/>
    </row>
    <row r="642" spans="1:226" s="416" customFormat="1" ht="15" customHeight="1">
      <c r="A642" s="1809"/>
      <c r="B642" s="1827"/>
      <c r="C642" s="1815"/>
      <c r="D642" s="1818"/>
      <c r="E642" s="1352" t="s">
        <v>405</v>
      </c>
      <c r="F642" s="1353">
        <f>SUM(G642:J642)</f>
        <v>1000000</v>
      </c>
      <c r="G642" s="1353">
        <v>1000000</v>
      </c>
      <c r="H642" s="1353"/>
      <c r="I642" s="1353"/>
      <c r="J642" s="1354"/>
    </row>
    <row r="643" spans="1:226" s="416" customFormat="1" ht="15" customHeight="1">
      <c r="A643" s="1809"/>
      <c r="B643" s="1827"/>
      <c r="C643" s="1815"/>
      <c r="D643" s="1818"/>
      <c r="E643" s="1352" t="s">
        <v>406</v>
      </c>
      <c r="F643" s="1353">
        <f t="shared" ref="F643:F646" si="65">SUM(G643:J643)</f>
        <v>11449226</v>
      </c>
      <c r="G643" s="1353"/>
      <c r="H643" s="1353">
        <v>11449226</v>
      </c>
      <c r="I643" s="1353"/>
      <c r="J643" s="1354"/>
      <c r="L643" s="417"/>
    </row>
    <row r="644" spans="1:226" s="416" customFormat="1" ht="15" customHeight="1">
      <c r="A644" s="1809"/>
      <c r="B644" s="1827"/>
      <c r="C644" s="1815"/>
      <c r="D644" s="1818"/>
      <c r="E644" s="1352" t="s">
        <v>451</v>
      </c>
      <c r="F644" s="1353">
        <f t="shared" si="65"/>
        <v>2020452</v>
      </c>
      <c r="G644" s="1353"/>
      <c r="H644" s="1353"/>
      <c r="I644" s="1353">
        <v>2020452</v>
      </c>
      <c r="J644" s="1354"/>
      <c r="L644" s="417"/>
    </row>
    <row r="645" spans="1:226" s="416" customFormat="1" ht="15" customHeight="1">
      <c r="A645" s="1809"/>
      <c r="B645" s="1827"/>
      <c r="C645" s="1815"/>
      <c r="D645" s="1818"/>
      <c r="E645" s="1352" t="s">
        <v>401</v>
      </c>
      <c r="F645" s="1353">
        <f t="shared" si="65"/>
        <v>0</v>
      </c>
      <c r="G645" s="1353"/>
      <c r="H645" s="1353"/>
      <c r="I645" s="1353"/>
      <c r="J645" s="1354"/>
      <c r="L645" s="417"/>
    </row>
    <row r="646" spans="1:226" s="418" customFormat="1" ht="15" customHeight="1">
      <c r="A646" s="1809"/>
      <c r="B646" s="1827"/>
      <c r="C646" s="1815"/>
      <c r="D646" s="1818"/>
      <c r="E646" s="1352" t="s">
        <v>397</v>
      </c>
      <c r="F646" s="1353">
        <f t="shared" si="65"/>
        <v>340000</v>
      </c>
      <c r="G646" s="1353"/>
      <c r="H646" s="1353">
        <v>340000</v>
      </c>
      <c r="I646" s="1353"/>
      <c r="J646" s="1354"/>
      <c r="K646" s="416"/>
      <c r="L646" s="416"/>
      <c r="M646" s="416"/>
      <c r="N646" s="416"/>
      <c r="O646" s="416"/>
      <c r="P646" s="416"/>
      <c r="Q646" s="416"/>
      <c r="R646" s="416"/>
      <c r="S646" s="416"/>
      <c r="T646" s="416"/>
      <c r="U646" s="416"/>
      <c r="V646" s="416"/>
      <c r="W646" s="416"/>
      <c r="X646" s="416"/>
      <c r="Y646" s="416"/>
      <c r="Z646" s="416"/>
      <c r="AA646" s="416"/>
      <c r="AB646" s="416"/>
      <c r="AC646" s="416"/>
      <c r="AD646" s="416"/>
      <c r="AE646" s="416"/>
      <c r="AF646" s="416"/>
      <c r="AG646" s="416"/>
      <c r="AH646" s="416"/>
      <c r="AI646" s="416"/>
      <c r="AJ646" s="416"/>
      <c r="AK646" s="416"/>
      <c r="AL646" s="416"/>
      <c r="AM646" s="416"/>
      <c r="AN646" s="416"/>
      <c r="AO646" s="416"/>
      <c r="AP646" s="416"/>
      <c r="AQ646" s="416"/>
      <c r="AR646" s="416"/>
      <c r="AS646" s="416"/>
      <c r="AT646" s="416"/>
      <c r="AU646" s="416"/>
      <c r="AV646" s="416"/>
      <c r="AW646" s="416"/>
      <c r="AX646" s="416"/>
      <c r="AY646" s="416"/>
      <c r="AZ646" s="416"/>
      <c r="BA646" s="416"/>
      <c r="BB646" s="416"/>
      <c r="BC646" s="416"/>
      <c r="BD646" s="416"/>
      <c r="BE646" s="416"/>
      <c r="BF646" s="416"/>
      <c r="BG646" s="416"/>
      <c r="BH646" s="416"/>
      <c r="BI646" s="416"/>
      <c r="BJ646" s="416"/>
      <c r="BK646" s="416"/>
      <c r="BL646" s="416"/>
      <c r="BM646" s="416"/>
      <c r="BN646" s="416"/>
      <c r="BO646" s="416"/>
      <c r="BP646" s="416"/>
      <c r="BQ646" s="416"/>
      <c r="BR646" s="416"/>
      <c r="BS646" s="416"/>
      <c r="BT646" s="416"/>
      <c r="BU646" s="416"/>
      <c r="BV646" s="416"/>
      <c r="BW646" s="416"/>
      <c r="BX646" s="416"/>
      <c r="BY646" s="416"/>
      <c r="BZ646" s="416"/>
      <c r="CA646" s="416"/>
      <c r="CB646" s="416"/>
      <c r="CC646" s="416"/>
      <c r="CD646" s="416"/>
      <c r="CE646" s="416"/>
      <c r="CF646" s="416"/>
      <c r="CG646" s="416"/>
      <c r="CH646" s="416"/>
      <c r="CI646" s="416"/>
      <c r="CJ646" s="416"/>
      <c r="CK646" s="416"/>
      <c r="CL646" s="416"/>
      <c r="CM646" s="416"/>
      <c r="CN646" s="416"/>
      <c r="CO646" s="416"/>
      <c r="CP646" s="416"/>
      <c r="CQ646" s="416"/>
      <c r="CR646" s="416"/>
      <c r="CS646" s="416"/>
      <c r="CT646" s="416"/>
      <c r="CU646" s="416"/>
      <c r="CV646" s="416"/>
      <c r="CW646" s="416"/>
      <c r="CX646" s="416"/>
      <c r="CY646" s="416"/>
      <c r="CZ646" s="416"/>
      <c r="DA646" s="416"/>
      <c r="DB646" s="416"/>
      <c r="DC646" s="416"/>
      <c r="DD646" s="416"/>
      <c r="DE646" s="416"/>
      <c r="DF646" s="416"/>
      <c r="DG646" s="416"/>
      <c r="DH646" s="416"/>
      <c r="DI646" s="416"/>
      <c r="DJ646" s="416"/>
      <c r="DK646" s="416"/>
      <c r="DL646" s="416"/>
      <c r="DM646" s="416"/>
      <c r="DN646" s="416"/>
      <c r="DO646" s="416"/>
      <c r="DP646" s="416"/>
      <c r="DQ646" s="416"/>
      <c r="DR646" s="416"/>
      <c r="DS646" s="416"/>
      <c r="DT646" s="416"/>
      <c r="DU646" s="416"/>
      <c r="DV646" s="416"/>
      <c r="DW646" s="416"/>
      <c r="DX646" s="416"/>
      <c r="DY646" s="416"/>
      <c r="DZ646" s="416"/>
      <c r="EA646" s="416"/>
      <c r="EB646" s="416"/>
      <c r="EC646" s="416"/>
      <c r="ED646" s="416"/>
      <c r="EE646" s="416"/>
      <c r="EF646" s="416"/>
      <c r="EG646" s="416"/>
      <c r="EH646" s="416"/>
      <c r="EI646" s="416"/>
      <c r="EJ646" s="416"/>
      <c r="EK646" s="416"/>
      <c r="EL646" s="416"/>
      <c r="EM646" s="416"/>
      <c r="EN646" s="416"/>
      <c r="EO646" s="416"/>
      <c r="EP646" s="416"/>
      <c r="EQ646" s="416"/>
      <c r="ER646" s="416"/>
      <c r="ES646" s="416"/>
      <c r="ET646" s="416"/>
      <c r="EU646" s="416"/>
      <c r="EV646" s="416"/>
      <c r="EW646" s="416"/>
      <c r="EX646" s="416"/>
      <c r="EY646" s="416"/>
      <c r="EZ646" s="416"/>
      <c r="FA646" s="416"/>
      <c r="FB646" s="416"/>
      <c r="FC646" s="416"/>
      <c r="FD646" s="416"/>
      <c r="FE646" s="416"/>
      <c r="FF646" s="416"/>
      <c r="FG646" s="416"/>
      <c r="FH646" s="416"/>
      <c r="FI646" s="416"/>
      <c r="FJ646" s="416"/>
      <c r="FK646" s="416"/>
      <c r="FL646" s="416"/>
      <c r="FM646" s="416"/>
      <c r="FN646" s="416"/>
      <c r="FO646" s="416"/>
      <c r="FP646" s="416"/>
      <c r="FQ646" s="416"/>
      <c r="FR646" s="416"/>
      <c r="FS646" s="416"/>
      <c r="FT646" s="416"/>
      <c r="FU646" s="416"/>
      <c r="FV646" s="416"/>
      <c r="FW646" s="416"/>
      <c r="FX646" s="416"/>
      <c r="FY646" s="416"/>
      <c r="FZ646" s="416"/>
      <c r="GA646" s="416"/>
      <c r="GB646" s="416"/>
      <c r="GC646" s="416"/>
      <c r="GD646" s="416"/>
      <c r="GE646" s="416"/>
      <c r="GF646" s="416"/>
      <c r="GG646" s="416"/>
      <c r="GH646" s="416"/>
      <c r="GI646" s="416"/>
      <c r="GJ646" s="416"/>
      <c r="GK646" s="416"/>
      <c r="GL646" s="416"/>
      <c r="GM646" s="416"/>
      <c r="GN646" s="416"/>
      <c r="GO646" s="416"/>
      <c r="GP646" s="416"/>
      <c r="GQ646" s="416"/>
      <c r="GR646" s="416"/>
      <c r="GS646" s="416"/>
      <c r="GT646" s="416"/>
      <c r="GU646" s="416"/>
      <c r="GV646" s="416"/>
      <c r="GW646" s="416"/>
      <c r="GX646" s="416"/>
      <c r="GY646" s="416"/>
      <c r="GZ646" s="416"/>
      <c r="HA646" s="416"/>
      <c r="HB646" s="416"/>
      <c r="HC646" s="416"/>
      <c r="HD646" s="416"/>
      <c r="HE646" s="416"/>
      <c r="HF646" s="416"/>
      <c r="HG646" s="416"/>
      <c r="HH646" s="416"/>
      <c r="HI646" s="416"/>
      <c r="HJ646" s="416"/>
      <c r="HK646" s="416"/>
      <c r="HL646" s="416"/>
      <c r="HM646" s="416"/>
      <c r="HN646" s="416"/>
      <c r="HO646" s="416"/>
      <c r="HP646" s="416"/>
      <c r="HQ646" s="416"/>
      <c r="HR646" s="416"/>
    </row>
    <row r="647" spans="1:226" s="418" customFormat="1" ht="15" customHeight="1" thickBot="1">
      <c r="A647" s="1810"/>
      <c r="B647" s="1828"/>
      <c r="C647" s="1816"/>
      <c r="D647" s="1819"/>
      <c r="E647" s="1356">
        <v>6069</v>
      </c>
      <c r="F647" s="1357">
        <f>SUM(G647:J647)</f>
        <v>60000</v>
      </c>
      <c r="G647" s="1357"/>
      <c r="H647" s="1357"/>
      <c r="I647" s="1357">
        <v>60000</v>
      </c>
      <c r="J647" s="1373"/>
      <c r="K647" s="416"/>
    </row>
    <row r="648" spans="1:226" s="418" customFormat="1" ht="24.95" customHeight="1">
      <c r="A648" s="1809" t="s">
        <v>327</v>
      </c>
      <c r="B648" s="1827" t="s">
        <v>483</v>
      </c>
      <c r="C648" s="1815">
        <v>600</v>
      </c>
      <c r="D648" s="1818" t="s">
        <v>482</v>
      </c>
      <c r="E648" s="1340" t="s">
        <v>322</v>
      </c>
      <c r="F648" s="1341">
        <f>SUM(F649,F656)</f>
        <v>21989297</v>
      </c>
      <c r="G648" s="1341">
        <f>SUM(G649,G656)</f>
        <v>1978557</v>
      </c>
      <c r="H648" s="1341">
        <f>SUM(H649,H656)</f>
        <v>18265902</v>
      </c>
      <c r="I648" s="1341">
        <f>SUM(I649,I656)</f>
        <v>1744838</v>
      </c>
      <c r="J648" s="1342">
        <f>SUM(J649,J656)</f>
        <v>0</v>
      </c>
      <c r="K648" s="416"/>
    </row>
    <row r="649" spans="1:226" s="418" customFormat="1" ht="19.5" customHeight="1">
      <c r="A649" s="1809"/>
      <c r="B649" s="1827"/>
      <c r="C649" s="1815"/>
      <c r="D649" s="1818"/>
      <c r="E649" s="1346" t="s">
        <v>323</v>
      </c>
      <c r="F649" s="1347">
        <f>SUM(F650,F653)</f>
        <v>0</v>
      </c>
      <c r="G649" s="1347">
        <f>SUM(G650,G653)</f>
        <v>0</v>
      </c>
      <c r="H649" s="1347">
        <f>SUM(H650,H653)</f>
        <v>0</v>
      </c>
      <c r="I649" s="1347">
        <f>SUM(I650,I653)</f>
        <v>0</v>
      </c>
      <c r="J649" s="1348">
        <f>SUM(J650,J653)</f>
        <v>0</v>
      </c>
      <c r="K649" s="416"/>
    </row>
    <row r="650" spans="1:226" s="418" customFormat="1" ht="24.95" hidden="1" customHeight="1">
      <c r="A650" s="1809"/>
      <c r="B650" s="1827"/>
      <c r="C650" s="1815"/>
      <c r="D650" s="1818"/>
      <c r="E650" s="1349" t="s">
        <v>335</v>
      </c>
      <c r="F650" s="1350">
        <f>SUM(F651:F652)</f>
        <v>0</v>
      </c>
      <c r="G650" s="1350">
        <f>SUM(G651:G652)</f>
        <v>0</v>
      </c>
      <c r="H650" s="1350">
        <f>SUM(H651:H652)</f>
        <v>0</v>
      </c>
      <c r="I650" s="1350">
        <f>SUM(I651:I652)</f>
        <v>0</v>
      </c>
      <c r="J650" s="1351">
        <f>SUM(J651:J652)</f>
        <v>0</v>
      </c>
      <c r="K650" s="416"/>
    </row>
    <row r="651" spans="1:226" s="418" customFormat="1" ht="15" hidden="1" customHeight="1">
      <c r="A651" s="1809"/>
      <c r="B651" s="1827"/>
      <c r="C651" s="1815"/>
      <c r="D651" s="1818"/>
      <c r="E651" s="1352"/>
      <c r="F651" s="1353">
        <f>SUM(G651:J651)</f>
        <v>0</v>
      </c>
      <c r="G651" s="1353"/>
      <c r="H651" s="1353"/>
      <c r="I651" s="1353"/>
      <c r="J651" s="1354"/>
      <c r="K651" s="416"/>
    </row>
    <row r="652" spans="1:226" s="418" customFormat="1" ht="15" hidden="1" customHeight="1">
      <c r="A652" s="1809"/>
      <c r="B652" s="1827"/>
      <c r="C652" s="1815"/>
      <c r="D652" s="1818"/>
      <c r="E652" s="1352"/>
      <c r="F652" s="1353">
        <f>SUM(G652:J652)</f>
        <v>0</v>
      </c>
      <c r="G652" s="1353"/>
      <c r="H652" s="1353"/>
      <c r="I652" s="1353"/>
      <c r="J652" s="1354"/>
      <c r="K652" s="416"/>
    </row>
    <row r="653" spans="1:226" s="418" customFormat="1" ht="24.95" hidden="1" customHeight="1">
      <c r="A653" s="1809"/>
      <c r="B653" s="1827"/>
      <c r="C653" s="1815"/>
      <c r="D653" s="1818"/>
      <c r="E653" s="1349" t="s">
        <v>340</v>
      </c>
      <c r="F653" s="1350">
        <f>SUM(F654:F655)</f>
        <v>0</v>
      </c>
      <c r="G653" s="1350">
        <f>SUM(G654:G655)</f>
        <v>0</v>
      </c>
      <c r="H653" s="1350">
        <f>SUM(H654:H655)</f>
        <v>0</v>
      </c>
      <c r="I653" s="1350">
        <f>SUM(I654:I655)</f>
        <v>0</v>
      </c>
      <c r="J653" s="1351">
        <f>SUM(J654:J655)</f>
        <v>0</v>
      </c>
      <c r="K653" s="416"/>
    </row>
    <row r="654" spans="1:226" s="418" customFormat="1" ht="15" hidden="1" customHeight="1">
      <c r="A654" s="1809"/>
      <c r="B654" s="1827"/>
      <c r="C654" s="1815"/>
      <c r="D654" s="1818"/>
      <c r="E654" s="1352"/>
      <c r="F654" s="1353">
        <f>SUM(G654:J654)</f>
        <v>0</v>
      </c>
      <c r="G654" s="1353"/>
      <c r="H654" s="1353"/>
      <c r="I654" s="1353"/>
      <c r="J654" s="1354"/>
      <c r="K654" s="416"/>
    </row>
    <row r="655" spans="1:226" s="418" customFormat="1" ht="15" hidden="1" customHeight="1">
      <c r="A655" s="1809"/>
      <c r="B655" s="1827"/>
      <c r="C655" s="1815"/>
      <c r="D655" s="1818"/>
      <c r="E655" s="1352"/>
      <c r="F655" s="1353">
        <f>SUM(G655:J655)</f>
        <v>0</v>
      </c>
      <c r="G655" s="1353"/>
      <c r="H655" s="1353"/>
      <c r="I655" s="1353"/>
      <c r="J655" s="1354"/>
      <c r="K655" s="416"/>
    </row>
    <row r="656" spans="1:226" s="418" customFormat="1" ht="20.25" customHeight="1">
      <c r="A656" s="1809"/>
      <c r="B656" s="1827"/>
      <c r="C656" s="1815"/>
      <c r="D656" s="1818"/>
      <c r="E656" s="1355" t="s">
        <v>324</v>
      </c>
      <c r="F656" s="1347">
        <f>SUM(F657:F662)</f>
        <v>21989297</v>
      </c>
      <c r="G656" s="1347">
        <f>SUM(G657:G662)</f>
        <v>1978557</v>
      </c>
      <c r="H656" s="1347">
        <f>SUM(H657:H662)</f>
        <v>18265902</v>
      </c>
      <c r="I656" s="1347">
        <f>SUM(I657:I662)</f>
        <v>1744838</v>
      </c>
      <c r="J656" s="1348">
        <f>SUM(J657:J662)</f>
        <v>0</v>
      </c>
      <c r="K656" s="416"/>
    </row>
    <row r="657" spans="1:226" s="416" customFormat="1" ht="15" customHeight="1">
      <c r="A657" s="1809"/>
      <c r="B657" s="1827"/>
      <c r="C657" s="1815"/>
      <c r="D657" s="1818"/>
      <c r="E657" s="1352" t="s">
        <v>405</v>
      </c>
      <c r="F657" s="1353">
        <f>SUM(G657:J657)</f>
        <v>500000</v>
      </c>
      <c r="G657" s="1353">
        <v>500000</v>
      </c>
      <c r="H657" s="1353"/>
      <c r="I657" s="1353"/>
      <c r="J657" s="1354"/>
    </row>
    <row r="658" spans="1:226" s="418" customFormat="1" ht="15" customHeight="1">
      <c r="A658" s="1809"/>
      <c r="B658" s="1827"/>
      <c r="C658" s="1815"/>
      <c r="D658" s="1818"/>
      <c r="E658" s="1352" t="s">
        <v>406</v>
      </c>
      <c r="F658" s="1353">
        <f>SUM(G658:J658)</f>
        <v>18265902</v>
      </c>
      <c r="G658" s="1353"/>
      <c r="H658" s="1353">
        <v>18265902</v>
      </c>
      <c r="I658" s="1353"/>
      <c r="J658" s="1354"/>
      <c r="K658" s="416"/>
      <c r="L658" s="416"/>
      <c r="M658" s="416"/>
      <c r="N658" s="416"/>
      <c r="O658" s="416"/>
      <c r="P658" s="416"/>
      <c r="Q658" s="416"/>
      <c r="R658" s="416"/>
      <c r="S658" s="416"/>
      <c r="T658" s="416"/>
      <c r="U658" s="416"/>
      <c r="V658" s="416"/>
      <c r="W658" s="416"/>
      <c r="X658" s="416"/>
      <c r="Y658" s="416"/>
      <c r="Z658" s="416"/>
      <c r="AA658" s="416"/>
      <c r="AB658" s="416"/>
      <c r="AC658" s="416"/>
      <c r="AD658" s="416"/>
      <c r="AE658" s="416"/>
      <c r="AF658" s="416"/>
      <c r="AG658" s="416"/>
      <c r="AH658" s="416"/>
      <c r="AI658" s="416"/>
      <c r="AJ658" s="416"/>
      <c r="AK658" s="416"/>
      <c r="AL658" s="416"/>
      <c r="AM658" s="416"/>
      <c r="AN658" s="416"/>
      <c r="AO658" s="416"/>
      <c r="AP658" s="416"/>
      <c r="AQ658" s="416"/>
      <c r="AR658" s="416"/>
      <c r="AS658" s="416"/>
      <c r="AT658" s="416"/>
      <c r="AU658" s="416"/>
      <c r="AV658" s="416"/>
      <c r="AW658" s="416"/>
      <c r="AX658" s="416"/>
      <c r="AY658" s="416"/>
      <c r="AZ658" s="416"/>
      <c r="BA658" s="416"/>
      <c r="BB658" s="416"/>
      <c r="BC658" s="416"/>
      <c r="BD658" s="416"/>
      <c r="BE658" s="416"/>
      <c r="BF658" s="416"/>
      <c r="BG658" s="416"/>
      <c r="BH658" s="416"/>
      <c r="BI658" s="416"/>
      <c r="BJ658" s="416"/>
      <c r="BK658" s="416"/>
      <c r="BL658" s="416"/>
      <c r="BM658" s="416"/>
      <c r="BN658" s="416"/>
      <c r="BO658" s="416"/>
      <c r="BP658" s="416"/>
      <c r="BQ658" s="416"/>
      <c r="BR658" s="416"/>
      <c r="BS658" s="416"/>
      <c r="BT658" s="416"/>
      <c r="BU658" s="416"/>
      <c r="BV658" s="416"/>
      <c r="BW658" s="416"/>
      <c r="BX658" s="416"/>
      <c r="BY658" s="416"/>
      <c r="BZ658" s="416"/>
      <c r="CA658" s="416"/>
      <c r="CB658" s="416"/>
      <c r="CC658" s="416"/>
      <c r="CD658" s="416"/>
      <c r="CE658" s="416"/>
      <c r="CF658" s="416"/>
      <c r="CG658" s="416"/>
      <c r="CH658" s="416"/>
      <c r="CI658" s="416"/>
      <c r="CJ658" s="416"/>
      <c r="CK658" s="416"/>
      <c r="CL658" s="416"/>
      <c r="CM658" s="416"/>
      <c r="CN658" s="416"/>
      <c r="CO658" s="416"/>
      <c r="CP658" s="416"/>
      <c r="CQ658" s="416"/>
      <c r="CR658" s="416"/>
      <c r="CS658" s="416"/>
      <c r="CT658" s="416"/>
      <c r="CU658" s="416"/>
      <c r="CV658" s="416"/>
      <c r="CW658" s="416"/>
      <c r="CX658" s="416"/>
      <c r="CY658" s="416"/>
      <c r="CZ658" s="416"/>
      <c r="DA658" s="416"/>
      <c r="DB658" s="416"/>
      <c r="DC658" s="416"/>
      <c r="DD658" s="416"/>
      <c r="DE658" s="416"/>
      <c r="DF658" s="416"/>
      <c r="DG658" s="416"/>
      <c r="DH658" s="416"/>
      <c r="DI658" s="416"/>
      <c r="DJ658" s="416"/>
      <c r="DK658" s="416"/>
      <c r="DL658" s="416"/>
      <c r="DM658" s="416"/>
      <c r="DN658" s="416"/>
      <c r="DO658" s="416"/>
      <c r="DP658" s="416"/>
      <c r="DQ658" s="416"/>
      <c r="DR658" s="416"/>
      <c r="DS658" s="416"/>
      <c r="DT658" s="416"/>
      <c r="DU658" s="416"/>
      <c r="DV658" s="416"/>
      <c r="DW658" s="416"/>
      <c r="DX658" s="416"/>
      <c r="DY658" s="416"/>
      <c r="DZ658" s="416"/>
      <c r="EA658" s="416"/>
      <c r="EB658" s="416"/>
      <c r="EC658" s="416"/>
      <c r="ED658" s="416"/>
      <c r="EE658" s="416"/>
      <c r="EF658" s="416"/>
      <c r="EG658" s="416"/>
      <c r="EH658" s="416"/>
      <c r="EI658" s="416"/>
      <c r="EJ658" s="416"/>
      <c r="EK658" s="416"/>
      <c r="EL658" s="416"/>
      <c r="EM658" s="416"/>
      <c r="EN658" s="416"/>
      <c r="EO658" s="416"/>
      <c r="EP658" s="416"/>
      <c r="EQ658" s="416"/>
      <c r="ER658" s="416"/>
      <c r="ES658" s="416"/>
      <c r="ET658" s="416"/>
      <c r="EU658" s="416"/>
      <c r="EV658" s="416"/>
      <c r="EW658" s="416"/>
      <c r="EX658" s="416"/>
      <c r="EY658" s="416"/>
      <c r="EZ658" s="416"/>
      <c r="FA658" s="416"/>
      <c r="FB658" s="416"/>
      <c r="FC658" s="416"/>
      <c r="FD658" s="416"/>
      <c r="FE658" s="416"/>
      <c r="FF658" s="416"/>
      <c r="FG658" s="416"/>
      <c r="FH658" s="416"/>
      <c r="FI658" s="416"/>
      <c r="FJ658" s="416"/>
      <c r="FK658" s="416"/>
      <c r="FL658" s="416"/>
      <c r="FM658" s="416"/>
      <c r="FN658" s="416"/>
      <c r="FO658" s="416"/>
      <c r="FP658" s="416"/>
      <c r="FQ658" s="416"/>
      <c r="FR658" s="416"/>
      <c r="FS658" s="416"/>
      <c r="FT658" s="416"/>
      <c r="FU658" s="416"/>
      <c r="FV658" s="416"/>
      <c r="FW658" s="416"/>
      <c r="FX658" s="416"/>
      <c r="FY658" s="416"/>
      <c r="FZ658" s="416"/>
      <c r="GA658" s="416"/>
      <c r="GB658" s="416"/>
      <c r="GC658" s="416"/>
      <c r="GD658" s="416"/>
      <c r="GE658" s="416"/>
      <c r="GF658" s="416"/>
      <c r="GG658" s="416"/>
      <c r="GH658" s="416"/>
      <c r="GI658" s="416"/>
      <c r="GJ658" s="416"/>
      <c r="GK658" s="416"/>
      <c r="GL658" s="416"/>
      <c r="GM658" s="416"/>
      <c r="GN658" s="416"/>
      <c r="GO658" s="416"/>
      <c r="GP658" s="416"/>
      <c r="GQ658" s="416"/>
      <c r="GR658" s="416"/>
      <c r="GS658" s="416"/>
      <c r="GT658" s="416"/>
      <c r="GU658" s="416"/>
      <c r="GV658" s="416"/>
      <c r="GW658" s="416"/>
      <c r="GX658" s="416"/>
      <c r="GY658" s="416"/>
      <c r="GZ658" s="416"/>
      <c r="HA658" s="416"/>
      <c r="HB658" s="416"/>
      <c r="HC658" s="416"/>
      <c r="HD658" s="416"/>
      <c r="HE658" s="416"/>
      <c r="HF658" s="416"/>
      <c r="HG658" s="416"/>
      <c r="HH658" s="416"/>
      <c r="HI658" s="416"/>
      <c r="HJ658" s="416"/>
      <c r="HK658" s="416"/>
      <c r="HL658" s="416"/>
      <c r="HM658" s="416"/>
      <c r="HN658" s="416"/>
      <c r="HO658" s="416"/>
      <c r="HP658" s="416"/>
      <c r="HQ658" s="416"/>
      <c r="HR658" s="416"/>
    </row>
    <row r="659" spans="1:226" s="418" customFormat="1" ht="15" customHeight="1" thickBot="1">
      <c r="A659" s="1809"/>
      <c r="B659" s="1827"/>
      <c r="C659" s="1815"/>
      <c r="D659" s="1818"/>
      <c r="E659" s="1358">
        <v>6059</v>
      </c>
      <c r="F659" s="1359">
        <f>SUM(G659:J659)</f>
        <v>3223395</v>
      </c>
      <c r="G659" s="1359">
        <f>3223395-1744838</f>
        <v>1478557</v>
      </c>
      <c r="H659" s="1359"/>
      <c r="I659" s="1359">
        <v>1744838</v>
      </c>
      <c r="J659" s="1360"/>
      <c r="K659" s="416"/>
    </row>
    <row r="660" spans="1:226" s="418" customFormat="1" ht="15" hidden="1" customHeight="1">
      <c r="A660" s="1809"/>
      <c r="B660" s="1827"/>
      <c r="C660" s="1815"/>
      <c r="D660" s="1818"/>
      <c r="E660" s="1358">
        <v>6060</v>
      </c>
      <c r="F660" s="1359">
        <f t="shared" ref="F660:F662" si="66">SUM(G660:J660)</f>
        <v>0</v>
      </c>
      <c r="G660" s="1359"/>
      <c r="H660" s="1359"/>
      <c r="I660" s="1359"/>
      <c r="J660" s="1360"/>
      <c r="K660" s="416"/>
    </row>
    <row r="661" spans="1:226" s="418" customFormat="1" ht="15" hidden="1" customHeight="1">
      <c r="A661" s="1809"/>
      <c r="B661" s="1827"/>
      <c r="C661" s="1815"/>
      <c r="D661" s="1818"/>
      <c r="E661" s="1384" t="s">
        <v>397</v>
      </c>
      <c r="F661" s="1359">
        <f t="shared" si="66"/>
        <v>0</v>
      </c>
      <c r="G661" s="1359"/>
      <c r="H661" s="1359"/>
      <c r="I661" s="1359"/>
      <c r="J661" s="1360"/>
      <c r="K661" s="416"/>
    </row>
    <row r="662" spans="1:226" s="418" customFormat="1" ht="15" hidden="1" customHeight="1">
      <c r="A662" s="1809"/>
      <c r="B662" s="1827"/>
      <c r="C662" s="1815"/>
      <c r="D662" s="1818"/>
      <c r="E662" s="1358">
        <v>6069</v>
      </c>
      <c r="F662" s="1359">
        <f t="shared" si="66"/>
        <v>0</v>
      </c>
      <c r="G662" s="1359"/>
      <c r="H662" s="1359"/>
      <c r="I662" s="1359"/>
      <c r="J662" s="1360"/>
      <c r="K662" s="416"/>
    </row>
    <row r="663" spans="1:226" s="418" customFormat="1" ht="24.95" customHeight="1">
      <c r="A663" s="1808" t="s">
        <v>331</v>
      </c>
      <c r="B663" s="1826" t="s">
        <v>484</v>
      </c>
      <c r="C663" s="1814">
        <v>600</v>
      </c>
      <c r="D663" s="1817" t="s">
        <v>482</v>
      </c>
      <c r="E663" s="1361" t="s">
        <v>322</v>
      </c>
      <c r="F663" s="1362">
        <f>SUM(F664,F671)</f>
        <v>23679255</v>
      </c>
      <c r="G663" s="1362">
        <f>SUM(G664,G671)</f>
        <v>0</v>
      </c>
      <c r="H663" s="1362">
        <f>SUM(H664,H671)</f>
        <v>19892435</v>
      </c>
      <c r="I663" s="1362">
        <f>SUM(I664,I671)</f>
        <v>0</v>
      </c>
      <c r="J663" s="1363">
        <f>SUM(J664,J671)</f>
        <v>3786820</v>
      </c>
      <c r="K663" s="416"/>
    </row>
    <row r="664" spans="1:226" s="418" customFormat="1" ht="12">
      <c r="A664" s="1809"/>
      <c r="B664" s="1827"/>
      <c r="C664" s="1815"/>
      <c r="D664" s="1818"/>
      <c r="E664" s="1346" t="s">
        <v>323</v>
      </c>
      <c r="F664" s="1347">
        <f>SUM(F665,F668)</f>
        <v>0</v>
      </c>
      <c r="G664" s="1347">
        <f>SUM(G665,G668)</f>
        <v>0</v>
      </c>
      <c r="H664" s="1347">
        <f>SUM(H665,H668)</f>
        <v>0</v>
      </c>
      <c r="I664" s="1347">
        <f>SUM(I665,I668)</f>
        <v>0</v>
      </c>
      <c r="J664" s="1348">
        <f>SUM(J665,J668)</f>
        <v>0</v>
      </c>
      <c r="K664" s="416"/>
    </row>
    <row r="665" spans="1:226" s="418" customFormat="1" ht="24.95" hidden="1" customHeight="1">
      <c r="A665" s="1809"/>
      <c r="B665" s="1827"/>
      <c r="C665" s="1815"/>
      <c r="D665" s="1818"/>
      <c r="E665" s="1349" t="s">
        <v>335</v>
      </c>
      <c r="F665" s="1350">
        <f>SUM(F666:F667)</f>
        <v>0</v>
      </c>
      <c r="G665" s="1350">
        <f>SUM(G666:G667)</f>
        <v>0</v>
      </c>
      <c r="H665" s="1350">
        <f>SUM(H666:H667)</f>
        <v>0</v>
      </c>
      <c r="I665" s="1350">
        <f>SUM(I666:I667)</f>
        <v>0</v>
      </c>
      <c r="J665" s="1351">
        <f>SUM(J666:J667)</f>
        <v>0</v>
      </c>
      <c r="K665" s="416"/>
    </row>
    <row r="666" spans="1:226" s="418" customFormat="1" ht="15" hidden="1" customHeight="1">
      <c r="A666" s="1809"/>
      <c r="B666" s="1827"/>
      <c r="C666" s="1815"/>
      <c r="D666" s="1818"/>
      <c r="E666" s="1352"/>
      <c r="F666" s="1353">
        <f>SUM(G666:J666)</f>
        <v>0</v>
      </c>
      <c r="G666" s="1353"/>
      <c r="H666" s="1353"/>
      <c r="I666" s="1353"/>
      <c r="J666" s="1354"/>
      <c r="K666" s="416"/>
    </row>
    <row r="667" spans="1:226" s="418" customFormat="1" ht="15" hidden="1" customHeight="1">
      <c r="A667" s="1809"/>
      <c r="B667" s="1827"/>
      <c r="C667" s="1815"/>
      <c r="D667" s="1818"/>
      <c r="E667" s="1352"/>
      <c r="F667" s="1353">
        <f>SUM(G667:J667)</f>
        <v>0</v>
      </c>
      <c r="G667" s="1353"/>
      <c r="H667" s="1353"/>
      <c r="I667" s="1353"/>
      <c r="J667" s="1354"/>
      <c r="K667" s="416"/>
    </row>
    <row r="668" spans="1:226" s="418" customFormat="1" ht="24.95" hidden="1" customHeight="1">
      <c r="A668" s="1809"/>
      <c r="B668" s="1827"/>
      <c r="C668" s="1815"/>
      <c r="D668" s="1818"/>
      <c r="E668" s="1349" t="s">
        <v>340</v>
      </c>
      <c r="F668" s="1350">
        <f>SUM(F669:F670)</f>
        <v>0</v>
      </c>
      <c r="G668" s="1350">
        <f>SUM(G669:G670)</f>
        <v>0</v>
      </c>
      <c r="H668" s="1350">
        <f>SUM(H669:H670)</f>
        <v>0</v>
      </c>
      <c r="I668" s="1350">
        <f>SUM(I669:I670)</f>
        <v>0</v>
      </c>
      <c r="J668" s="1351">
        <f>SUM(J669:J670)</f>
        <v>0</v>
      </c>
      <c r="K668" s="416"/>
    </row>
    <row r="669" spans="1:226" s="418" customFormat="1" ht="15" hidden="1" customHeight="1">
      <c r="A669" s="1809"/>
      <c r="B669" s="1827"/>
      <c r="C669" s="1815"/>
      <c r="D669" s="1818"/>
      <c r="E669" s="1352"/>
      <c r="F669" s="1353">
        <f>SUM(G669:J669)</f>
        <v>0</v>
      </c>
      <c r="G669" s="1353"/>
      <c r="H669" s="1353"/>
      <c r="I669" s="1353"/>
      <c r="J669" s="1354"/>
      <c r="K669" s="416"/>
    </row>
    <row r="670" spans="1:226" s="418" customFormat="1" ht="15" hidden="1" customHeight="1">
      <c r="A670" s="1809"/>
      <c r="B670" s="1827"/>
      <c r="C670" s="1815"/>
      <c r="D670" s="1818"/>
      <c r="E670" s="1352"/>
      <c r="F670" s="1353">
        <f>SUM(G670:J670)</f>
        <v>0</v>
      </c>
      <c r="G670" s="1353"/>
      <c r="H670" s="1353"/>
      <c r="I670" s="1353"/>
      <c r="J670" s="1354"/>
      <c r="K670" s="416"/>
    </row>
    <row r="671" spans="1:226" s="418" customFormat="1" ht="19.5" customHeight="1">
      <c r="A671" s="1809"/>
      <c r="B671" s="1827"/>
      <c r="C671" s="1815"/>
      <c r="D671" s="1818"/>
      <c r="E671" s="1355" t="s">
        <v>324</v>
      </c>
      <c r="F671" s="1347">
        <f>SUM(F672:F677)</f>
        <v>23679255</v>
      </c>
      <c r="G671" s="1347">
        <f>SUM(G672:G677)</f>
        <v>0</v>
      </c>
      <c r="H671" s="1347">
        <f>SUM(H672:H677)</f>
        <v>19892435</v>
      </c>
      <c r="I671" s="1347">
        <f>SUM(I672:I677)</f>
        <v>0</v>
      </c>
      <c r="J671" s="1348">
        <f>SUM(J672:J677)</f>
        <v>3786820</v>
      </c>
      <c r="K671" s="416"/>
    </row>
    <row r="672" spans="1:226" s="416" customFormat="1" ht="15" customHeight="1">
      <c r="A672" s="1809"/>
      <c r="B672" s="1827"/>
      <c r="C672" s="1815"/>
      <c r="D672" s="1818"/>
      <c r="E672" s="1352" t="s">
        <v>405</v>
      </c>
      <c r="F672" s="1353">
        <f t="shared" ref="F672:F677" si="67">SUM(G672:J672)</f>
        <v>76390</v>
      </c>
      <c r="G672" s="1353"/>
      <c r="H672" s="1353"/>
      <c r="I672" s="1353"/>
      <c r="J672" s="1354">
        <v>76390</v>
      </c>
    </row>
    <row r="673" spans="1:226" s="418" customFormat="1" ht="15" customHeight="1">
      <c r="A673" s="1809"/>
      <c r="B673" s="1827"/>
      <c r="C673" s="1815"/>
      <c r="D673" s="1818"/>
      <c r="E673" s="1352" t="s">
        <v>406</v>
      </c>
      <c r="F673" s="1353">
        <f t="shared" si="67"/>
        <v>18362435</v>
      </c>
      <c r="G673" s="1353"/>
      <c r="H673" s="1353">
        <v>18362435</v>
      </c>
      <c r="I673" s="1353"/>
      <c r="J673" s="1354"/>
      <c r="K673" s="416"/>
      <c r="L673" s="416"/>
      <c r="M673" s="416"/>
      <c r="N673" s="416"/>
      <c r="O673" s="416"/>
      <c r="P673" s="416"/>
      <c r="Q673" s="416"/>
      <c r="R673" s="416"/>
      <c r="S673" s="416"/>
      <c r="T673" s="416"/>
      <c r="U673" s="416"/>
      <c r="V673" s="416"/>
      <c r="W673" s="416"/>
      <c r="X673" s="416"/>
      <c r="Y673" s="416"/>
      <c r="Z673" s="416"/>
      <c r="AA673" s="416"/>
      <c r="AB673" s="416"/>
      <c r="AC673" s="416"/>
      <c r="AD673" s="416"/>
      <c r="AE673" s="416"/>
      <c r="AF673" s="416"/>
      <c r="AG673" s="416"/>
      <c r="AH673" s="416"/>
      <c r="AI673" s="416"/>
      <c r="AJ673" s="416"/>
      <c r="AK673" s="416"/>
      <c r="AL673" s="416"/>
      <c r="AM673" s="416"/>
      <c r="AN673" s="416"/>
      <c r="AO673" s="416"/>
      <c r="AP673" s="416"/>
      <c r="AQ673" s="416"/>
      <c r="AR673" s="416"/>
      <c r="AS673" s="416"/>
      <c r="AT673" s="416"/>
      <c r="AU673" s="416"/>
      <c r="AV673" s="416"/>
      <c r="AW673" s="416"/>
      <c r="AX673" s="416"/>
      <c r="AY673" s="416"/>
      <c r="AZ673" s="416"/>
      <c r="BA673" s="416"/>
      <c r="BB673" s="416"/>
      <c r="BC673" s="416"/>
      <c r="BD673" s="416"/>
      <c r="BE673" s="416"/>
      <c r="BF673" s="416"/>
      <c r="BG673" s="416"/>
      <c r="BH673" s="416"/>
      <c r="BI673" s="416"/>
      <c r="BJ673" s="416"/>
      <c r="BK673" s="416"/>
      <c r="BL673" s="416"/>
      <c r="BM673" s="416"/>
      <c r="BN673" s="416"/>
      <c r="BO673" s="416"/>
      <c r="BP673" s="416"/>
      <c r="BQ673" s="416"/>
      <c r="BR673" s="416"/>
      <c r="BS673" s="416"/>
      <c r="BT673" s="416"/>
      <c r="BU673" s="416"/>
      <c r="BV673" s="416"/>
      <c r="BW673" s="416"/>
      <c r="BX673" s="416"/>
      <c r="BY673" s="416"/>
      <c r="BZ673" s="416"/>
      <c r="CA673" s="416"/>
      <c r="CB673" s="416"/>
      <c r="CC673" s="416"/>
      <c r="CD673" s="416"/>
      <c r="CE673" s="416"/>
      <c r="CF673" s="416"/>
      <c r="CG673" s="416"/>
      <c r="CH673" s="416"/>
      <c r="CI673" s="416"/>
      <c r="CJ673" s="416"/>
      <c r="CK673" s="416"/>
      <c r="CL673" s="416"/>
      <c r="CM673" s="416"/>
      <c r="CN673" s="416"/>
      <c r="CO673" s="416"/>
      <c r="CP673" s="416"/>
      <c r="CQ673" s="416"/>
      <c r="CR673" s="416"/>
      <c r="CS673" s="416"/>
      <c r="CT673" s="416"/>
      <c r="CU673" s="416"/>
      <c r="CV673" s="416"/>
      <c r="CW673" s="416"/>
      <c r="CX673" s="416"/>
      <c r="CY673" s="416"/>
      <c r="CZ673" s="416"/>
      <c r="DA673" s="416"/>
      <c r="DB673" s="416"/>
      <c r="DC673" s="416"/>
      <c r="DD673" s="416"/>
      <c r="DE673" s="416"/>
      <c r="DF673" s="416"/>
      <c r="DG673" s="416"/>
      <c r="DH673" s="416"/>
      <c r="DI673" s="416"/>
      <c r="DJ673" s="416"/>
      <c r="DK673" s="416"/>
      <c r="DL673" s="416"/>
      <c r="DM673" s="416"/>
      <c r="DN673" s="416"/>
      <c r="DO673" s="416"/>
      <c r="DP673" s="416"/>
      <c r="DQ673" s="416"/>
      <c r="DR673" s="416"/>
      <c r="DS673" s="416"/>
      <c r="DT673" s="416"/>
      <c r="DU673" s="416"/>
      <c r="DV673" s="416"/>
      <c r="DW673" s="416"/>
      <c r="DX673" s="416"/>
      <c r="DY673" s="416"/>
      <c r="DZ673" s="416"/>
      <c r="EA673" s="416"/>
      <c r="EB673" s="416"/>
      <c r="EC673" s="416"/>
      <c r="ED673" s="416"/>
      <c r="EE673" s="416"/>
      <c r="EF673" s="416"/>
      <c r="EG673" s="416"/>
      <c r="EH673" s="416"/>
      <c r="EI673" s="416"/>
      <c r="EJ673" s="416"/>
      <c r="EK673" s="416"/>
      <c r="EL673" s="416"/>
      <c r="EM673" s="416"/>
      <c r="EN673" s="416"/>
      <c r="EO673" s="416"/>
      <c r="EP673" s="416"/>
      <c r="EQ673" s="416"/>
      <c r="ER673" s="416"/>
      <c r="ES673" s="416"/>
      <c r="ET673" s="416"/>
      <c r="EU673" s="416"/>
      <c r="EV673" s="416"/>
      <c r="EW673" s="416"/>
      <c r="EX673" s="416"/>
      <c r="EY673" s="416"/>
      <c r="EZ673" s="416"/>
      <c r="FA673" s="416"/>
      <c r="FB673" s="416"/>
      <c r="FC673" s="416"/>
      <c r="FD673" s="416"/>
      <c r="FE673" s="416"/>
      <c r="FF673" s="416"/>
      <c r="FG673" s="416"/>
      <c r="FH673" s="416"/>
      <c r="FI673" s="416"/>
      <c r="FJ673" s="416"/>
      <c r="FK673" s="416"/>
      <c r="FL673" s="416"/>
      <c r="FM673" s="416"/>
      <c r="FN673" s="416"/>
      <c r="FO673" s="416"/>
      <c r="FP673" s="416"/>
      <c r="FQ673" s="416"/>
      <c r="FR673" s="416"/>
      <c r="FS673" s="416"/>
      <c r="FT673" s="416"/>
      <c r="FU673" s="416"/>
      <c r="FV673" s="416"/>
      <c r="FW673" s="416"/>
      <c r="FX673" s="416"/>
      <c r="FY673" s="416"/>
      <c r="FZ673" s="416"/>
      <c r="GA673" s="416"/>
      <c r="GB673" s="416"/>
      <c r="GC673" s="416"/>
      <c r="GD673" s="416"/>
      <c r="GE673" s="416"/>
      <c r="GF673" s="416"/>
      <c r="GG673" s="416"/>
      <c r="GH673" s="416"/>
      <c r="GI673" s="416"/>
      <c r="GJ673" s="416"/>
      <c r="GK673" s="416"/>
      <c r="GL673" s="416"/>
      <c r="GM673" s="416"/>
      <c r="GN673" s="416"/>
      <c r="GO673" s="416"/>
      <c r="GP673" s="416"/>
      <c r="GQ673" s="416"/>
      <c r="GR673" s="416"/>
      <c r="GS673" s="416"/>
      <c r="GT673" s="416"/>
      <c r="GU673" s="416"/>
      <c r="GV673" s="416"/>
      <c r="GW673" s="416"/>
      <c r="GX673" s="416"/>
      <c r="GY673" s="416"/>
      <c r="GZ673" s="416"/>
      <c r="HA673" s="416"/>
      <c r="HB673" s="416"/>
      <c r="HC673" s="416"/>
      <c r="HD673" s="416"/>
      <c r="HE673" s="416"/>
      <c r="HF673" s="416"/>
      <c r="HG673" s="416"/>
      <c r="HH673" s="416"/>
      <c r="HI673" s="416"/>
      <c r="HJ673" s="416"/>
      <c r="HK673" s="416"/>
      <c r="HL673" s="416"/>
      <c r="HM673" s="416"/>
      <c r="HN673" s="416"/>
      <c r="HO673" s="416"/>
      <c r="HP673" s="416"/>
      <c r="HQ673" s="416"/>
      <c r="HR673" s="416"/>
    </row>
    <row r="674" spans="1:226" s="418" customFormat="1" ht="15" customHeight="1">
      <c r="A674" s="1809"/>
      <c r="B674" s="1827"/>
      <c r="C674" s="1815"/>
      <c r="D674" s="1818"/>
      <c r="E674" s="1358">
        <v>6059</v>
      </c>
      <c r="F674" s="1359">
        <f t="shared" si="67"/>
        <v>3240430</v>
      </c>
      <c r="G674" s="1359"/>
      <c r="H674" s="1359"/>
      <c r="I674" s="1359"/>
      <c r="J674" s="1360">
        <v>3240430</v>
      </c>
      <c r="K674" s="416"/>
    </row>
    <row r="675" spans="1:226" s="418" customFormat="1" ht="15" customHeight="1">
      <c r="A675" s="1809"/>
      <c r="B675" s="1827"/>
      <c r="C675" s="1815"/>
      <c r="D675" s="1818"/>
      <c r="E675" s="1358">
        <v>6060</v>
      </c>
      <c r="F675" s="1359">
        <f t="shared" si="67"/>
        <v>200000</v>
      </c>
      <c r="G675" s="1359"/>
      <c r="H675" s="1359"/>
      <c r="I675" s="1359"/>
      <c r="J675" s="1360">
        <v>200000</v>
      </c>
      <c r="K675" s="416"/>
    </row>
    <row r="676" spans="1:226" s="418" customFormat="1" ht="15" customHeight="1">
      <c r="A676" s="1809"/>
      <c r="B676" s="1827"/>
      <c r="C676" s="1815"/>
      <c r="D676" s="1818"/>
      <c r="E676" s="1384" t="s">
        <v>397</v>
      </c>
      <c r="F676" s="1359">
        <f t="shared" si="67"/>
        <v>1530000</v>
      </c>
      <c r="G676" s="1359"/>
      <c r="H676" s="1359">
        <v>1530000</v>
      </c>
      <c r="I676" s="1359"/>
      <c r="J676" s="1360"/>
      <c r="K676" s="416"/>
    </row>
    <row r="677" spans="1:226" s="418" customFormat="1" ht="15" customHeight="1" thickBot="1">
      <c r="A677" s="1810"/>
      <c r="B677" s="1828"/>
      <c r="C677" s="1816"/>
      <c r="D677" s="1819"/>
      <c r="E677" s="1356">
        <v>6069</v>
      </c>
      <c r="F677" s="1357">
        <f t="shared" si="67"/>
        <v>270000</v>
      </c>
      <c r="G677" s="1357"/>
      <c r="H677" s="1357"/>
      <c r="I677" s="1357"/>
      <c r="J677" s="1373">
        <v>270000</v>
      </c>
      <c r="K677" s="416"/>
    </row>
    <row r="678" spans="1:226" s="418" customFormat="1" ht="24.95" customHeight="1">
      <c r="A678" s="1809" t="s">
        <v>350</v>
      </c>
      <c r="B678" s="1827" t="s">
        <v>485</v>
      </c>
      <c r="C678" s="1815">
        <v>600</v>
      </c>
      <c r="D678" s="1818" t="s">
        <v>482</v>
      </c>
      <c r="E678" s="1340" t="s">
        <v>322</v>
      </c>
      <c r="F678" s="1341">
        <f>SUM(F679,F686)</f>
        <v>11390151</v>
      </c>
      <c r="G678" s="1341">
        <f>SUM(G679,G686)</f>
        <v>92944</v>
      </c>
      <c r="H678" s="1341">
        <f>SUM(H679,H686)</f>
        <v>9621884</v>
      </c>
      <c r="I678" s="1341">
        <f>SUM(I679,I686)</f>
        <v>1675323</v>
      </c>
      <c r="J678" s="1342">
        <f>SUM(J679,J686)</f>
        <v>0</v>
      </c>
      <c r="K678" s="416"/>
    </row>
    <row r="679" spans="1:226" s="418" customFormat="1" ht="17.25" customHeight="1">
      <c r="A679" s="1809"/>
      <c r="B679" s="1827"/>
      <c r="C679" s="1815"/>
      <c r="D679" s="1818"/>
      <c r="E679" s="1346" t="s">
        <v>323</v>
      </c>
      <c r="F679" s="1347">
        <f>SUM(F680,F683)</f>
        <v>0</v>
      </c>
      <c r="G679" s="1347">
        <f>SUM(G680,G683)</f>
        <v>0</v>
      </c>
      <c r="H679" s="1347">
        <f>SUM(H680,H683)</f>
        <v>0</v>
      </c>
      <c r="I679" s="1347">
        <f>SUM(I680,I683)</f>
        <v>0</v>
      </c>
      <c r="J679" s="1348">
        <f>SUM(J680,J683)</f>
        <v>0</v>
      </c>
      <c r="K679" s="416"/>
    </row>
    <row r="680" spans="1:226" s="418" customFormat="1" ht="24.95" hidden="1" customHeight="1">
      <c r="A680" s="1809"/>
      <c r="B680" s="1827"/>
      <c r="C680" s="1815"/>
      <c r="D680" s="1818"/>
      <c r="E680" s="1349" t="s">
        <v>335</v>
      </c>
      <c r="F680" s="1350">
        <f>SUM(F681:F682)</f>
        <v>0</v>
      </c>
      <c r="G680" s="1350">
        <f>SUM(G681:G682)</f>
        <v>0</v>
      </c>
      <c r="H680" s="1350">
        <f>SUM(H681:H682)</f>
        <v>0</v>
      </c>
      <c r="I680" s="1350">
        <f>SUM(I681:I682)</f>
        <v>0</v>
      </c>
      <c r="J680" s="1351">
        <f>SUM(J681:J682)</f>
        <v>0</v>
      </c>
      <c r="K680" s="416"/>
    </row>
    <row r="681" spans="1:226" s="418" customFormat="1" ht="15" hidden="1" customHeight="1">
      <c r="A681" s="1809"/>
      <c r="B681" s="1827"/>
      <c r="C681" s="1815"/>
      <c r="D681" s="1818"/>
      <c r="E681" s="1352"/>
      <c r="F681" s="1353">
        <f>SUM(G681:J681)</f>
        <v>0</v>
      </c>
      <c r="G681" s="1353"/>
      <c r="H681" s="1353"/>
      <c r="I681" s="1353"/>
      <c r="J681" s="1354"/>
      <c r="K681" s="416"/>
    </row>
    <row r="682" spans="1:226" s="418" customFormat="1" ht="15" hidden="1" customHeight="1">
      <c r="A682" s="1809"/>
      <c r="B682" s="1827"/>
      <c r="C682" s="1815"/>
      <c r="D682" s="1818"/>
      <c r="E682" s="1352"/>
      <c r="F682" s="1353">
        <f>SUM(G682:J682)</f>
        <v>0</v>
      </c>
      <c r="G682" s="1353"/>
      <c r="H682" s="1353"/>
      <c r="I682" s="1353"/>
      <c r="J682" s="1354"/>
      <c r="K682" s="416"/>
    </row>
    <row r="683" spans="1:226" s="418" customFormat="1" ht="24.95" hidden="1" customHeight="1">
      <c r="A683" s="1809"/>
      <c r="B683" s="1827"/>
      <c r="C683" s="1815"/>
      <c r="D683" s="1818"/>
      <c r="E683" s="1349" t="s">
        <v>340</v>
      </c>
      <c r="F683" s="1350">
        <f>SUM(F684:F685)</f>
        <v>0</v>
      </c>
      <c r="G683" s="1350">
        <f>SUM(G684:G685)</f>
        <v>0</v>
      </c>
      <c r="H683" s="1350">
        <f>SUM(H684:H685)</f>
        <v>0</v>
      </c>
      <c r="I683" s="1350">
        <f>SUM(I684:I685)</f>
        <v>0</v>
      </c>
      <c r="J683" s="1351">
        <f>SUM(J684:J685)</f>
        <v>0</v>
      </c>
      <c r="K683" s="416"/>
    </row>
    <row r="684" spans="1:226" s="418" customFormat="1" ht="15" hidden="1" customHeight="1">
      <c r="A684" s="1809"/>
      <c r="B684" s="1827"/>
      <c r="C684" s="1815"/>
      <c r="D684" s="1818"/>
      <c r="E684" s="1352"/>
      <c r="F684" s="1353">
        <f>SUM(G684:J684)</f>
        <v>0</v>
      </c>
      <c r="G684" s="1353"/>
      <c r="H684" s="1353"/>
      <c r="I684" s="1353"/>
      <c r="J684" s="1354"/>
      <c r="K684" s="416"/>
    </row>
    <row r="685" spans="1:226" s="418" customFormat="1" ht="15" hidden="1" customHeight="1">
      <c r="A685" s="1809"/>
      <c r="B685" s="1827"/>
      <c r="C685" s="1815"/>
      <c r="D685" s="1818"/>
      <c r="E685" s="1352"/>
      <c r="F685" s="1353">
        <f>SUM(G685:J685)</f>
        <v>0</v>
      </c>
      <c r="G685" s="1353"/>
      <c r="H685" s="1353"/>
      <c r="I685" s="1353"/>
      <c r="J685" s="1354"/>
      <c r="K685" s="416"/>
    </row>
    <row r="686" spans="1:226" s="418" customFormat="1" ht="19.5" customHeight="1">
      <c r="A686" s="1809"/>
      <c r="B686" s="1827"/>
      <c r="C686" s="1815"/>
      <c r="D686" s="1818"/>
      <c r="E686" s="1355" t="s">
        <v>324</v>
      </c>
      <c r="F686" s="1347">
        <f>SUM(F687:F692)</f>
        <v>11390151</v>
      </c>
      <c r="G686" s="1347">
        <f>SUM(G687:G692)</f>
        <v>92944</v>
      </c>
      <c r="H686" s="1347">
        <f>SUM(H687:H692)</f>
        <v>9621884</v>
      </c>
      <c r="I686" s="1347">
        <f>SUM(I687:I692)</f>
        <v>1675323</v>
      </c>
      <c r="J686" s="1348">
        <f>SUM(J687:J692)</f>
        <v>0</v>
      </c>
      <c r="K686" s="416"/>
    </row>
    <row r="687" spans="1:226" s="416" customFormat="1" ht="15" customHeight="1">
      <c r="A687" s="1809"/>
      <c r="B687" s="1827"/>
      <c r="C687" s="1815"/>
      <c r="D687" s="1818"/>
      <c r="E687" s="1352" t="s">
        <v>405</v>
      </c>
      <c r="F687" s="1353">
        <f t="shared" ref="F687:F692" si="68">SUM(G687:J687)</f>
        <v>64674</v>
      </c>
      <c r="G687" s="1353">
        <v>64674</v>
      </c>
      <c r="H687" s="1353"/>
      <c r="I687" s="1353"/>
      <c r="J687" s="1354"/>
    </row>
    <row r="688" spans="1:226" s="418" customFormat="1" ht="15" customHeight="1">
      <c r="A688" s="1809"/>
      <c r="B688" s="1827"/>
      <c r="C688" s="1815"/>
      <c r="D688" s="1818"/>
      <c r="E688" s="1352" t="s">
        <v>406</v>
      </c>
      <c r="F688" s="1353">
        <f t="shared" si="68"/>
        <v>9621884</v>
      </c>
      <c r="G688" s="1353"/>
      <c r="H688" s="1353">
        <v>9621884</v>
      </c>
      <c r="I688" s="1353"/>
      <c r="J688" s="1354"/>
      <c r="K688" s="416"/>
      <c r="L688" s="416"/>
      <c r="M688" s="416"/>
      <c r="N688" s="416"/>
      <c r="O688" s="416"/>
      <c r="P688" s="416"/>
      <c r="Q688" s="416"/>
      <c r="R688" s="416"/>
      <c r="S688" s="416"/>
      <c r="T688" s="416"/>
      <c r="U688" s="416"/>
      <c r="V688" s="416"/>
      <c r="W688" s="416"/>
      <c r="X688" s="416"/>
      <c r="Y688" s="416"/>
      <c r="Z688" s="416"/>
      <c r="AA688" s="416"/>
      <c r="AB688" s="416"/>
      <c r="AC688" s="416"/>
      <c r="AD688" s="416"/>
      <c r="AE688" s="416"/>
      <c r="AF688" s="416"/>
      <c r="AG688" s="416"/>
      <c r="AH688" s="416"/>
      <c r="AI688" s="416"/>
      <c r="AJ688" s="416"/>
      <c r="AK688" s="416"/>
      <c r="AL688" s="416"/>
      <c r="AM688" s="416"/>
      <c r="AN688" s="416"/>
      <c r="AO688" s="416"/>
      <c r="AP688" s="416"/>
      <c r="AQ688" s="416"/>
      <c r="AR688" s="416"/>
      <c r="AS688" s="416"/>
      <c r="AT688" s="416"/>
      <c r="AU688" s="416"/>
      <c r="AV688" s="416"/>
      <c r="AW688" s="416"/>
      <c r="AX688" s="416"/>
      <c r="AY688" s="416"/>
      <c r="AZ688" s="416"/>
      <c r="BA688" s="416"/>
      <c r="BB688" s="416"/>
      <c r="BC688" s="416"/>
      <c r="BD688" s="416"/>
      <c r="BE688" s="416"/>
      <c r="BF688" s="416"/>
      <c r="BG688" s="416"/>
      <c r="BH688" s="416"/>
      <c r="BI688" s="416"/>
      <c r="BJ688" s="416"/>
      <c r="BK688" s="416"/>
      <c r="BL688" s="416"/>
      <c r="BM688" s="416"/>
      <c r="BN688" s="416"/>
      <c r="BO688" s="416"/>
      <c r="BP688" s="416"/>
      <c r="BQ688" s="416"/>
      <c r="BR688" s="416"/>
      <c r="BS688" s="416"/>
      <c r="BT688" s="416"/>
      <c r="BU688" s="416"/>
      <c r="BV688" s="416"/>
      <c r="BW688" s="416"/>
      <c r="BX688" s="416"/>
      <c r="BY688" s="416"/>
      <c r="BZ688" s="416"/>
      <c r="CA688" s="416"/>
      <c r="CB688" s="416"/>
      <c r="CC688" s="416"/>
      <c r="CD688" s="416"/>
      <c r="CE688" s="416"/>
      <c r="CF688" s="416"/>
      <c r="CG688" s="416"/>
      <c r="CH688" s="416"/>
      <c r="CI688" s="416"/>
      <c r="CJ688" s="416"/>
      <c r="CK688" s="416"/>
      <c r="CL688" s="416"/>
      <c r="CM688" s="416"/>
      <c r="CN688" s="416"/>
      <c r="CO688" s="416"/>
      <c r="CP688" s="416"/>
      <c r="CQ688" s="416"/>
      <c r="CR688" s="416"/>
      <c r="CS688" s="416"/>
      <c r="CT688" s="416"/>
      <c r="CU688" s="416"/>
      <c r="CV688" s="416"/>
      <c r="CW688" s="416"/>
      <c r="CX688" s="416"/>
      <c r="CY688" s="416"/>
      <c r="CZ688" s="416"/>
      <c r="DA688" s="416"/>
      <c r="DB688" s="416"/>
      <c r="DC688" s="416"/>
      <c r="DD688" s="416"/>
      <c r="DE688" s="416"/>
      <c r="DF688" s="416"/>
      <c r="DG688" s="416"/>
      <c r="DH688" s="416"/>
      <c r="DI688" s="416"/>
      <c r="DJ688" s="416"/>
      <c r="DK688" s="416"/>
      <c r="DL688" s="416"/>
      <c r="DM688" s="416"/>
      <c r="DN688" s="416"/>
      <c r="DO688" s="416"/>
      <c r="DP688" s="416"/>
      <c r="DQ688" s="416"/>
      <c r="DR688" s="416"/>
      <c r="DS688" s="416"/>
      <c r="DT688" s="416"/>
      <c r="DU688" s="416"/>
      <c r="DV688" s="416"/>
      <c r="DW688" s="416"/>
      <c r="DX688" s="416"/>
      <c r="DY688" s="416"/>
      <c r="DZ688" s="416"/>
      <c r="EA688" s="416"/>
      <c r="EB688" s="416"/>
      <c r="EC688" s="416"/>
      <c r="ED688" s="416"/>
      <c r="EE688" s="416"/>
      <c r="EF688" s="416"/>
      <c r="EG688" s="416"/>
      <c r="EH688" s="416"/>
      <c r="EI688" s="416"/>
      <c r="EJ688" s="416"/>
      <c r="EK688" s="416"/>
      <c r="EL688" s="416"/>
      <c r="EM688" s="416"/>
      <c r="EN688" s="416"/>
      <c r="EO688" s="416"/>
      <c r="EP688" s="416"/>
      <c r="EQ688" s="416"/>
      <c r="ER688" s="416"/>
      <c r="ES688" s="416"/>
      <c r="ET688" s="416"/>
      <c r="EU688" s="416"/>
      <c r="EV688" s="416"/>
      <c r="EW688" s="416"/>
      <c r="EX688" s="416"/>
      <c r="EY688" s="416"/>
      <c r="EZ688" s="416"/>
      <c r="FA688" s="416"/>
      <c r="FB688" s="416"/>
      <c r="FC688" s="416"/>
      <c r="FD688" s="416"/>
      <c r="FE688" s="416"/>
      <c r="FF688" s="416"/>
      <c r="FG688" s="416"/>
      <c r="FH688" s="416"/>
      <c r="FI688" s="416"/>
      <c r="FJ688" s="416"/>
      <c r="FK688" s="416"/>
      <c r="FL688" s="416"/>
      <c r="FM688" s="416"/>
      <c r="FN688" s="416"/>
      <c r="FO688" s="416"/>
      <c r="FP688" s="416"/>
      <c r="FQ688" s="416"/>
      <c r="FR688" s="416"/>
      <c r="FS688" s="416"/>
      <c r="FT688" s="416"/>
      <c r="FU688" s="416"/>
      <c r="FV688" s="416"/>
      <c r="FW688" s="416"/>
      <c r="FX688" s="416"/>
      <c r="FY688" s="416"/>
      <c r="FZ688" s="416"/>
      <c r="GA688" s="416"/>
      <c r="GB688" s="416"/>
      <c r="GC688" s="416"/>
      <c r="GD688" s="416"/>
      <c r="GE688" s="416"/>
      <c r="GF688" s="416"/>
      <c r="GG688" s="416"/>
      <c r="GH688" s="416"/>
      <c r="GI688" s="416"/>
      <c r="GJ688" s="416"/>
      <c r="GK688" s="416"/>
      <c r="GL688" s="416"/>
      <c r="GM688" s="416"/>
      <c r="GN688" s="416"/>
      <c r="GO688" s="416"/>
      <c r="GP688" s="416"/>
      <c r="GQ688" s="416"/>
      <c r="GR688" s="416"/>
      <c r="GS688" s="416"/>
      <c r="GT688" s="416"/>
      <c r="GU688" s="416"/>
      <c r="GV688" s="416"/>
      <c r="GW688" s="416"/>
      <c r="GX688" s="416"/>
      <c r="GY688" s="416"/>
      <c r="GZ688" s="416"/>
      <c r="HA688" s="416"/>
      <c r="HB688" s="416"/>
      <c r="HC688" s="416"/>
      <c r="HD688" s="416"/>
      <c r="HE688" s="416"/>
      <c r="HF688" s="416"/>
      <c r="HG688" s="416"/>
      <c r="HH688" s="416"/>
      <c r="HI688" s="416"/>
      <c r="HJ688" s="416"/>
      <c r="HK688" s="416"/>
      <c r="HL688" s="416"/>
      <c r="HM688" s="416"/>
      <c r="HN688" s="416"/>
      <c r="HO688" s="416"/>
      <c r="HP688" s="416"/>
      <c r="HQ688" s="416"/>
      <c r="HR688" s="416"/>
    </row>
    <row r="689" spans="1:11" s="418" customFormat="1" ht="15" customHeight="1" thickBot="1">
      <c r="A689" s="1809"/>
      <c r="B689" s="1827"/>
      <c r="C689" s="1815"/>
      <c r="D689" s="1818"/>
      <c r="E689" s="1358">
        <v>6059</v>
      </c>
      <c r="F689" s="1359">
        <f t="shared" si="68"/>
        <v>1703593</v>
      </c>
      <c r="G689" s="1359">
        <v>28270</v>
      </c>
      <c r="H689" s="1359"/>
      <c r="I689" s="1359">
        <v>1675323</v>
      </c>
      <c r="J689" s="1360"/>
      <c r="K689" s="416"/>
    </row>
    <row r="690" spans="1:11" s="418" customFormat="1" ht="15" hidden="1" customHeight="1">
      <c r="A690" s="1809"/>
      <c r="B690" s="1827"/>
      <c r="C690" s="1815"/>
      <c r="D690" s="1818"/>
      <c r="E690" s="1358">
        <v>6060</v>
      </c>
      <c r="F690" s="1359">
        <f t="shared" si="68"/>
        <v>0</v>
      </c>
      <c r="G690" s="1359"/>
      <c r="H690" s="1359"/>
      <c r="I690" s="1359"/>
      <c r="J690" s="1360"/>
      <c r="K690" s="416"/>
    </row>
    <row r="691" spans="1:11" s="418" customFormat="1" ht="15" hidden="1" customHeight="1">
      <c r="A691" s="1809"/>
      <c r="B691" s="1827"/>
      <c r="C691" s="1815"/>
      <c r="D691" s="1818"/>
      <c r="E691" s="1384" t="s">
        <v>397</v>
      </c>
      <c r="F691" s="1359">
        <f t="shared" si="68"/>
        <v>0</v>
      </c>
      <c r="G691" s="1359"/>
      <c r="H691" s="1359"/>
      <c r="I691" s="1359"/>
      <c r="J691" s="1360"/>
      <c r="K691" s="416"/>
    </row>
    <row r="692" spans="1:11" s="418" customFormat="1" ht="15" hidden="1" customHeight="1">
      <c r="A692" s="1809"/>
      <c r="B692" s="1827"/>
      <c r="C692" s="1815"/>
      <c r="D692" s="1818"/>
      <c r="E692" s="1358">
        <v>6069</v>
      </c>
      <c r="F692" s="1359">
        <f t="shared" si="68"/>
        <v>0</v>
      </c>
      <c r="G692" s="1359"/>
      <c r="H692" s="1359"/>
      <c r="I692" s="1359"/>
      <c r="J692" s="1360"/>
      <c r="K692" s="416"/>
    </row>
    <row r="693" spans="1:11" s="418" customFormat="1" ht="24.95" customHeight="1">
      <c r="A693" s="1808" t="s">
        <v>354</v>
      </c>
      <c r="B693" s="1826" t="s">
        <v>486</v>
      </c>
      <c r="C693" s="1814">
        <v>600</v>
      </c>
      <c r="D693" s="1817" t="s">
        <v>482</v>
      </c>
      <c r="E693" s="1361" t="s">
        <v>322</v>
      </c>
      <c r="F693" s="1362">
        <f>SUM(F694,F701)</f>
        <v>40762854</v>
      </c>
      <c r="G693" s="1362">
        <f>SUM(G694,G701)</f>
        <v>526763</v>
      </c>
      <c r="H693" s="1362">
        <f>SUM(H694,H701)</f>
        <v>34200677</v>
      </c>
      <c r="I693" s="1362">
        <f>SUM(I694,I701)</f>
        <v>6035414</v>
      </c>
      <c r="J693" s="1363">
        <f>SUM(J694,J701)</f>
        <v>0</v>
      </c>
      <c r="K693" s="416"/>
    </row>
    <row r="694" spans="1:11" s="418" customFormat="1" ht="17.25" customHeight="1">
      <c r="A694" s="1809"/>
      <c r="B694" s="1827"/>
      <c r="C694" s="1815"/>
      <c r="D694" s="1818"/>
      <c r="E694" s="1346" t="s">
        <v>323</v>
      </c>
      <c r="F694" s="1347">
        <f>SUM(F695,F698)</f>
        <v>0</v>
      </c>
      <c r="G694" s="1347">
        <f>SUM(G695,G698)</f>
        <v>0</v>
      </c>
      <c r="H694" s="1347">
        <f>SUM(H695,H698)</f>
        <v>0</v>
      </c>
      <c r="I694" s="1347">
        <f>SUM(I695,I698)</f>
        <v>0</v>
      </c>
      <c r="J694" s="1348">
        <f>SUM(J695,J698)</f>
        <v>0</v>
      </c>
      <c r="K694" s="416"/>
    </row>
    <row r="695" spans="1:11" s="418" customFormat="1" ht="24.95" hidden="1" customHeight="1">
      <c r="A695" s="1809"/>
      <c r="B695" s="1827"/>
      <c r="C695" s="1815"/>
      <c r="D695" s="1818"/>
      <c r="E695" s="1349" t="s">
        <v>335</v>
      </c>
      <c r="F695" s="1350">
        <f>SUM(F696:F697)</f>
        <v>0</v>
      </c>
      <c r="G695" s="1350">
        <f>SUM(G696:G697)</f>
        <v>0</v>
      </c>
      <c r="H695" s="1350">
        <f>SUM(H696:H697)</f>
        <v>0</v>
      </c>
      <c r="I695" s="1350">
        <f>SUM(I696:I697)</f>
        <v>0</v>
      </c>
      <c r="J695" s="1351">
        <f>SUM(J696:J697)</f>
        <v>0</v>
      </c>
      <c r="K695" s="416"/>
    </row>
    <row r="696" spans="1:11" s="418" customFormat="1" ht="15" hidden="1" customHeight="1">
      <c r="A696" s="1809"/>
      <c r="B696" s="1827"/>
      <c r="C696" s="1815"/>
      <c r="D696" s="1818"/>
      <c r="E696" s="1352"/>
      <c r="F696" s="1353">
        <f>SUM(G696:J696)</f>
        <v>0</v>
      </c>
      <c r="G696" s="1353"/>
      <c r="H696" s="1353"/>
      <c r="I696" s="1353"/>
      <c r="J696" s="1354"/>
      <c r="K696" s="416"/>
    </row>
    <row r="697" spans="1:11" s="418" customFormat="1" ht="15" hidden="1" customHeight="1">
      <c r="A697" s="1809"/>
      <c r="B697" s="1827"/>
      <c r="C697" s="1815"/>
      <c r="D697" s="1818"/>
      <c r="E697" s="1352"/>
      <c r="F697" s="1353">
        <f>SUM(G697:J697)</f>
        <v>0</v>
      </c>
      <c r="G697" s="1353"/>
      <c r="H697" s="1353"/>
      <c r="I697" s="1353"/>
      <c r="J697" s="1354"/>
      <c r="K697" s="416"/>
    </row>
    <row r="698" spans="1:11" s="418" customFormat="1" ht="24.95" hidden="1" customHeight="1">
      <c r="A698" s="1809"/>
      <c r="B698" s="1827"/>
      <c r="C698" s="1815"/>
      <c r="D698" s="1818"/>
      <c r="E698" s="1349" t="s">
        <v>340</v>
      </c>
      <c r="F698" s="1350">
        <f>SUM(F699:F700)</f>
        <v>0</v>
      </c>
      <c r="G698" s="1350">
        <f>SUM(G699:G700)</f>
        <v>0</v>
      </c>
      <c r="H698" s="1350">
        <f>SUM(H699:H700)</f>
        <v>0</v>
      </c>
      <c r="I698" s="1350">
        <f>SUM(I699:I700)</f>
        <v>0</v>
      </c>
      <c r="J698" s="1351">
        <f>SUM(J699:J700)</f>
        <v>0</v>
      </c>
      <c r="K698" s="416"/>
    </row>
    <row r="699" spans="1:11" s="418" customFormat="1" ht="15" hidden="1" customHeight="1">
      <c r="A699" s="1809"/>
      <c r="B699" s="1827"/>
      <c r="C699" s="1815"/>
      <c r="D699" s="1818"/>
      <c r="E699" s="1352"/>
      <c r="F699" s="1353">
        <f>SUM(G699:J699)</f>
        <v>0</v>
      </c>
      <c r="G699" s="1353"/>
      <c r="H699" s="1353"/>
      <c r="I699" s="1353"/>
      <c r="J699" s="1354"/>
      <c r="K699" s="416"/>
    </row>
    <row r="700" spans="1:11" s="418" customFormat="1" ht="15" hidden="1" customHeight="1">
      <c r="A700" s="1809"/>
      <c r="B700" s="1827"/>
      <c r="C700" s="1815"/>
      <c r="D700" s="1818"/>
      <c r="E700" s="1352"/>
      <c r="F700" s="1353">
        <f>SUM(G700:J700)</f>
        <v>0</v>
      </c>
      <c r="G700" s="1353"/>
      <c r="H700" s="1353"/>
      <c r="I700" s="1353"/>
      <c r="J700" s="1354"/>
      <c r="K700" s="416"/>
    </row>
    <row r="701" spans="1:11" s="418" customFormat="1" ht="18" customHeight="1">
      <c r="A701" s="1809"/>
      <c r="B701" s="1827"/>
      <c r="C701" s="1815"/>
      <c r="D701" s="1818"/>
      <c r="E701" s="1355" t="s">
        <v>324</v>
      </c>
      <c r="F701" s="1347">
        <f>SUM(F702:F707)</f>
        <v>40762854</v>
      </c>
      <c r="G701" s="1347">
        <f>SUM(G702:G707)</f>
        <v>526763</v>
      </c>
      <c r="H701" s="1347">
        <f>SUM(H702:H707)</f>
        <v>34200677</v>
      </c>
      <c r="I701" s="1347">
        <f>SUM(I702:I707)</f>
        <v>6035414</v>
      </c>
      <c r="J701" s="1348">
        <f>SUM(J702:J707)</f>
        <v>0</v>
      </c>
      <c r="K701" s="416"/>
    </row>
    <row r="702" spans="1:11" s="416" customFormat="1" ht="15" customHeight="1">
      <c r="A702" s="1809"/>
      <c r="B702" s="1827"/>
      <c r="C702" s="1815"/>
      <c r="D702" s="1818"/>
      <c r="E702" s="1352" t="s">
        <v>405</v>
      </c>
      <c r="F702" s="1353">
        <f>SUM(G702:J702)</f>
        <v>526763</v>
      </c>
      <c r="G702" s="1353">
        <v>526763</v>
      </c>
      <c r="H702" s="1353"/>
      <c r="I702" s="1353"/>
      <c r="J702" s="1354"/>
    </row>
    <row r="703" spans="1:11" s="416" customFormat="1" ht="15" customHeight="1">
      <c r="A703" s="1809"/>
      <c r="B703" s="1827"/>
      <c r="C703" s="1815"/>
      <c r="D703" s="1818"/>
      <c r="E703" s="1352" t="s">
        <v>406</v>
      </c>
      <c r="F703" s="1353">
        <f t="shared" ref="F703:F705" si="69">SUM(G703:J703)</f>
        <v>31353177</v>
      </c>
      <c r="G703" s="1353"/>
      <c r="H703" s="1353">
        <v>31353177</v>
      </c>
      <c r="I703" s="1353"/>
      <c r="J703" s="1354"/>
    </row>
    <row r="704" spans="1:11" s="416" customFormat="1" ht="15" customHeight="1">
      <c r="A704" s="1809"/>
      <c r="B704" s="1827"/>
      <c r="C704" s="1815"/>
      <c r="D704" s="1818"/>
      <c r="E704" s="1352" t="s">
        <v>451</v>
      </c>
      <c r="F704" s="1353">
        <f t="shared" si="69"/>
        <v>5532914</v>
      </c>
      <c r="G704" s="1353"/>
      <c r="H704" s="1353"/>
      <c r="I704" s="1353">
        <v>5532914</v>
      </c>
      <c r="J704" s="1354"/>
    </row>
    <row r="705" spans="1:226" s="416" customFormat="1" ht="15" hidden="1" customHeight="1">
      <c r="A705" s="1809"/>
      <c r="B705" s="1827"/>
      <c r="C705" s="1815"/>
      <c r="D705" s="1818"/>
      <c r="E705" s="1352" t="s">
        <v>401</v>
      </c>
      <c r="F705" s="1353">
        <f t="shared" si="69"/>
        <v>0</v>
      </c>
      <c r="G705" s="1353"/>
      <c r="H705" s="1353"/>
      <c r="I705" s="1353"/>
      <c r="J705" s="1354"/>
    </row>
    <row r="706" spans="1:226" s="418" customFormat="1" ht="15" customHeight="1">
      <c r="A706" s="1809"/>
      <c r="B706" s="1827"/>
      <c r="C706" s="1815"/>
      <c r="D706" s="1818"/>
      <c r="E706" s="1352" t="s">
        <v>397</v>
      </c>
      <c r="F706" s="1353">
        <f>SUM(G706:J706)</f>
        <v>2847500</v>
      </c>
      <c r="G706" s="1353"/>
      <c r="H706" s="1353">
        <v>2847500</v>
      </c>
      <c r="I706" s="1353"/>
      <c r="J706" s="1354"/>
      <c r="K706" s="416"/>
      <c r="L706" s="416"/>
      <c r="M706" s="416"/>
      <c r="N706" s="416"/>
      <c r="O706" s="416"/>
      <c r="P706" s="416"/>
      <c r="Q706" s="416"/>
      <c r="R706" s="416"/>
      <c r="S706" s="416"/>
      <c r="T706" s="416"/>
      <c r="U706" s="416"/>
      <c r="V706" s="416"/>
      <c r="W706" s="416"/>
      <c r="X706" s="416"/>
      <c r="Y706" s="416"/>
      <c r="Z706" s="416"/>
      <c r="AA706" s="416"/>
      <c r="AB706" s="416"/>
      <c r="AC706" s="416"/>
      <c r="AD706" s="416"/>
      <c r="AE706" s="416"/>
      <c r="AF706" s="416"/>
      <c r="AG706" s="416"/>
      <c r="AH706" s="416"/>
      <c r="AI706" s="416"/>
      <c r="AJ706" s="416"/>
      <c r="AK706" s="416"/>
      <c r="AL706" s="416"/>
      <c r="AM706" s="416"/>
      <c r="AN706" s="416"/>
      <c r="AO706" s="416"/>
      <c r="AP706" s="416"/>
      <c r="AQ706" s="416"/>
      <c r="AR706" s="416"/>
      <c r="AS706" s="416"/>
      <c r="AT706" s="416"/>
      <c r="AU706" s="416"/>
      <c r="AV706" s="416"/>
      <c r="AW706" s="416"/>
      <c r="AX706" s="416"/>
      <c r="AY706" s="416"/>
      <c r="AZ706" s="416"/>
      <c r="BA706" s="416"/>
      <c r="BB706" s="416"/>
      <c r="BC706" s="416"/>
      <c r="BD706" s="416"/>
      <c r="BE706" s="416"/>
      <c r="BF706" s="416"/>
      <c r="BG706" s="416"/>
      <c r="BH706" s="416"/>
      <c r="BI706" s="416"/>
      <c r="BJ706" s="416"/>
      <c r="BK706" s="416"/>
      <c r="BL706" s="416"/>
      <c r="BM706" s="416"/>
      <c r="BN706" s="416"/>
      <c r="BO706" s="416"/>
      <c r="BP706" s="416"/>
      <c r="BQ706" s="416"/>
      <c r="BR706" s="416"/>
      <c r="BS706" s="416"/>
      <c r="BT706" s="416"/>
      <c r="BU706" s="416"/>
      <c r="BV706" s="416"/>
      <c r="BW706" s="416"/>
      <c r="BX706" s="416"/>
      <c r="BY706" s="416"/>
      <c r="BZ706" s="416"/>
      <c r="CA706" s="416"/>
      <c r="CB706" s="416"/>
      <c r="CC706" s="416"/>
      <c r="CD706" s="416"/>
      <c r="CE706" s="416"/>
      <c r="CF706" s="416"/>
      <c r="CG706" s="416"/>
      <c r="CH706" s="416"/>
      <c r="CI706" s="416"/>
      <c r="CJ706" s="416"/>
      <c r="CK706" s="416"/>
      <c r="CL706" s="416"/>
      <c r="CM706" s="416"/>
      <c r="CN706" s="416"/>
      <c r="CO706" s="416"/>
      <c r="CP706" s="416"/>
      <c r="CQ706" s="416"/>
      <c r="CR706" s="416"/>
      <c r="CS706" s="416"/>
      <c r="CT706" s="416"/>
      <c r="CU706" s="416"/>
      <c r="CV706" s="416"/>
      <c r="CW706" s="416"/>
      <c r="CX706" s="416"/>
      <c r="CY706" s="416"/>
      <c r="CZ706" s="416"/>
      <c r="DA706" s="416"/>
      <c r="DB706" s="416"/>
      <c r="DC706" s="416"/>
      <c r="DD706" s="416"/>
      <c r="DE706" s="416"/>
      <c r="DF706" s="416"/>
      <c r="DG706" s="416"/>
      <c r="DH706" s="416"/>
      <c r="DI706" s="416"/>
      <c r="DJ706" s="416"/>
      <c r="DK706" s="416"/>
      <c r="DL706" s="416"/>
      <c r="DM706" s="416"/>
      <c r="DN706" s="416"/>
      <c r="DO706" s="416"/>
      <c r="DP706" s="416"/>
      <c r="DQ706" s="416"/>
      <c r="DR706" s="416"/>
      <c r="DS706" s="416"/>
      <c r="DT706" s="416"/>
      <c r="DU706" s="416"/>
      <c r="DV706" s="416"/>
      <c r="DW706" s="416"/>
      <c r="DX706" s="416"/>
      <c r="DY706" s="416"/>
      <c r="DZ706" s="416"/>
      <c r="EA706" s="416"/>
      <c r="EB706" s="416"/>
      <c r="EC706" s="416"/>
      <c r="ED706" s="416"/>
      <c r="EE706" s="416"/>
      <c r="EF706" s="416"/>
      <c r="EG706" s="416"/>
      <c r="EH706" s="416"/>
      <c r="EI706" s="416"/>
      <c r="EJ706" s="416"/>
      <c r="EK706" s="416"/>
      <c r="EL706" s="416"/>
      <c r="EM706" s="416"/>
      <c r="EN706" s="416"/>
      <c r="EO706" s="416"/>
      <c r="EP706" s="416"/>
      <c r="EQ706" s="416"/>
      <c r="ER706" s="416"/>
      <c r="ES706" s="416"/>
      <c r="ET706" s="416"/>
      <c r="EU706" s="416"/>
      <c r="EV706" s="416"/>
      <c r="EW706" s="416"/>
      <c r="EX706" s="416"/>
      <c r="EY706" s="416"/>
      <c r="EZ706" s="416"/>
      <c r="FA706" s="416"/>
      <c r="FB706" s="416"/>
      <c r="FC706" s="416"/>
      <c r="FD706" s="416"/>
      <c r="FE706" s="416"/>
      <c r="FF706" s="416"/>
      <c r="FG706" s="416"/>
      <c r="FH706" s="416"/>
      <c r="FI706" s="416"/>
      <c r="FJ706" s="416"/>
      <c r="FK706" s="416"/>
      <c r="FL706" s="416"/>
      <c r="FM706" s="416"/>
      <c r="FN706" s="416"/>
      <c r="FO706" s="416"/>
      <c r="FP706" s="416"/>
      <c r="FQ706" s="416"/>
      <c r="FR706" s="416"/>
      <c r="FS706" s="416"/>
      <c r="FT706" s="416"/>
      <c r="FU706" s="416"/>
      <c r="FV706" s="416"/>
      <c r="FW706" s="416"/>
      <c r="FX706" s="416"/>
      <c r="FY706" s="416"/>
      <c r="FZ706" s="416"/>
      <c r="GA706" s="416"/>
      <c r="GB706" s="416"/>
      <c r="GC706" s="416"/>
      <c r="GD706" s="416"/>
      <c r="GE706" s="416"/>
      <c r="GF706" s="416"/>
      <c r="GG706" s="416"/>
      <c r="GH706" s="416"/>
      <c r="GI706" s="416"/>
      <c r="GJ706" s="416"/>
      <c r="GK706" s="416"/>
      <c r="GL706" s="416"/>
      <c r="GM706" s="416"/>
      <c r="GN706" s="416"/>
      <c r="GO706" s="416"/>
      <c r="GP706" s="416"/>
      <c r="GQ706" s="416"/>
      <c r="GR706" s="416"/>
      <c r="GS706" s="416"/>
      <c r="GT706" s="416"/>
      <c r="GU706" s="416"/>
      <c r="GV706" s="416"/>
      <c r="GW706" s="416"/>
      <c r="GX706" s="416"/>
      <c r="GY706" s="416"/>
      <c r="GZ706" s="416"/>
      <c r="HA706" s="416"/>
      <c r="HB706" s="416"/>
      <c r="HC706" s="416"/>
      <c r="HD706" s="416"/>
      <c r="HE706" s="416"/>
      <c r="HF706" s="416"/>
      <c r="HG706" s="416"/>
      <c r="HH706" s="416"/>
      <c r="HI706" s="416"/>
      <c r="HJ706" s="416"/>
      <c r="HK706" s="416"/>
      <c r="HL706" s="416"/>
      <c r="HM706" s="416"/>
      <c r="HN706" s="416"/>
      <c r="HO706" s="416"/>
      <c r="HP706" s="416"/>
      <c r="HQ706" s="416"/>
      <c r="HR706" s="416"/>
    </row>
    <row r="707" spans="1:226" s="418" customFormat="1" ht="15" customHeight="1" thickBot="1">
      <c r="A707" s="1810"/>
      <c r="B707" s="1828"/>
      <c r="C707" s="1816"/>
      <c r="D707" s="1819"/>
      <c r="E707" s="1356">
        <v>6069</v>
      </c>
      <c r="F707" s="1357">
        <f>SUM(G707:J707)</f>
        <v>502500</v>
      </c>
      <c r="G707" s="1357"/>
      <c r="H707" s="1357"/>
      <c r="I707" s="1357">
        <v>502500</v>
      </c>
      <c r="J707" s="1373"/>
      <c r="K707" s="416"/>
    </row>
    <row r="708" spans="1:226" s="418" customFormat="1" ht="24.95" customHeight="1">
      <c r="A708" s="1809" t="s">
        <v>360</v>
      </c>
      <c r="B708" s="1827" t="s">
        <v>487</v>
      </c>
      <c r="C708" s="1815">
        <v>600</v>
      </c>
      <c r="D708" s="1818" t="s">
        <v>482</v>
      </c>
      <c r="E708" s="1340" t="s">
        <v>322</v>
      </c>
      <c r="F708" s="1341">
        <f>SUM(F709,F716)</f>
        <v>34279923</v>
      </c>
      <c r="G708" s="1341">
        <f>SUM(G709,G716)</f>
        <v>6079259</v>
      </c>
      <c r="H708" s="1341">
        <f>SUM(H709,H716)</f>
        <v>28200664</v>
      </c>
      <c r="I708" s="1341">
        <f>SUM(I709,I716)</f>
        <v>0</v>
      </c>
      <c r="J708" s="1342">
        <f>SUM(J709,J716)</f>
        <v>0</v>
      </c>
      <c r="K708" s="416"/>
    </row>
    <row r="709" spans="1:226" s="418" customFormat="1" ht="18" customHeight="1">
      <c r="A709" s="1809"/>
      <c r="B709" s="1827"/>
      <c r="C709" s="1815"/>
      <c r="D709" s="1818"/>
      <c r="E709" s="1346" t="s">
        <v>323</v>
      </c>
      <c r="F709" s="1347">
        <f>SUM(F710,F713)</f>
        <v>0</v>
      </c>
      <c r="G709" s="1347">
        <f>SUM(G710,G713)</f>
        <v>0</v>
      </c>
      <c r="H709" s="1347">
        <f>SUM(H710,H713)</f>
        <v>0</v>
      </c>
      <c r="I709" s="1347">
        <f>SUM(I710,I713)</f>
        <v>0</v>
      </c>
      <c r="J709" s="1348">
        <f>SUM(J710,J713)</f>
        <v>0</v>
      </c>
      <c r="K709" s="416"/>
    </row>
    <row r="710" spans="1:226" s="418" customFormat="1" ht="24.95" hidden="1" customHeight="1">
      <c r="A710" s="1809"/>
      <c r="B710" s="1827"/>
      <c r="C710" s="1815"/>
      <c r="D710" s="1818"/>
      <c r="E710" s="1349" t="s">
        <v>335</v>
      </c>
      <c r="F710" s="1350">
        <f>SUM(F711:F712)</f>
        <v>0</v>
      </c>
      <c r="G710" s="1350">
        <f>SUM(G711:G712)</f>
        <v>0</v>
      </c>
      <c r="H710" s="1350">
        <f>SUM(H711:H712)</f>
        <v>0</v>
      </c>
      <c r="I710" s="1350">
        <f>SUM(I711:I712)</f>
        <v>0</v>
      </c>
      <c r="J710" s="1351">
        <f>SUM(J711:J712)</f>
        <v>0</v>
      </c>
      <c r="K710" s="416"/>
    </row>
    <row r="711" spans="1:226" s="418" customFormat="1" ht="15" hidden="1" customHeight="1">
      <c r="A711" s="1809"/>
      <c r="B711" s="1827"/>
      <c r="C711" s="1815"/>
      <c r="D711" s="1818"/>
      <c r="E711" s="1352"/>
      <c r="F711" s="1353">
        <f>SUM(G711:J711)</f>
        <v>0</v>
      </c>
      <c r="G711" s="1353"/>
      <c r="H711" s="1353"/>
      <c r="I711" s="1353"/>
      <c r="J711" s="1354"/>
      <c r="K711" s="416"/>
    </row>
    <row r="712" spans="1:226" s="418" customFormat="1" ht="15" hidden="1" customHeight="1">
      <c r="A712" s="1809"/>
      <c r="B712" s="1827"/>
      <c r="C712" s="1815"/>
      <c r="D712" s="1818"/>
      <c r="E712" s="1352"/>
      <c r="F712" s="1353">
        <f>SUM(G712:J712)</f>
        <v>0</v>
      </c>
      <c r="G712" s="1353"/>
      <c r="H712" s="1353"/>
      <c r="I712" s="1353"/>
      <c r="J712" s="1354"/>
      <c r="K712" s="416"/>
    </row>
    <row r="713" spans="1:226" s="418" customFormat="1" ht="24.95" hidden="1" customHeight="1">
      <c r="A713" s="1809"/>
      <c r="B713" s="1827"/>
      <c r="C713" s="1815"/>
      <c r="D713" s="1818"/>
      <c r="E713" s="1349" t="s">
        <v>340</v>
      </c>
      <c r="F713" s="1350">
        <f>SUM(F714:F715)</f>
        <v>0</v>
      </c>
      <c r="G713" s="1350">
        <f>SUM(G714:G715)</f>
        <v>0</v>
      </c>
      <c r="H713" s="1350">
        <f>SUM(H714:H715)</f>
        <v>0</v>
      </c>
      <c r="I713" s="1350">
        <f>SUM(I714:I715)</f>
        <v>0</v>
      </c>
      <c r="J713" s="1351">
        <f>SUM(J714:J715)</f>
        <v>0</v>
      </c>
      <c r="K713" s="416"/>
    </row>
    <row r="714" spans="1:226" s="418" customFormat="1" ht="15" hidden="1" customHeight="1">
      <c r="A714" s="1809"/>
      <c r="B714" s="1827"/>
      <c r="C714" s="1815"/>
      <c r="D714" s="1818"/>
      <c r="E714" s="1352"/>
      <c r="F714" s="1353">
        <f>SUM(G714:J714)</f>
        <v>0</v>
      </c>
      <c r="G714" s="1353"/>
      <c r="H714" s="1353"/>
      <c r="I714" s="1353"/>
      <c r="J714" s="1354"/>
      <c r="K714" s="416"/>
    </row>
    <row r="715" spans="1:226" s="418" customFormat="1" ht="15" hidden="1" customHeight="1">
      <c r="A715" s="1809"/>
      <c r="B715" s="1827"/>
      <c r="C715" s="1815"/>
      <c r="D715" s="1818"/>
      <c r="E715" s="1352"/>
      <c r="F715" s="1353">
        <f>SUM(G715:J715)</f>
        <v>0</v>
      </c>
      <c r="G715" s="1353"/>
      <c r="H715" s="1353"/>
      <c r="I715" s="1353"/>
      <c r="J715" s="1354"/>
      <c r="K715" s="416"/>
    </row>
    <row r="716" spans="1:226" s="418" customFormat="1" ht="18.75" customHeight="1">
      <c r="A716" s="1809"/>
      <c r="B716" s="1827"/>
      <c r="C716" s="1815"/>
      <c r="D716" s="1818"/>
      <c r="E716" s="1355" t="s">
        <v>324</v>
      </c>
      <c r="F716" s="1347">
        <f>SUM(F717:F722)</f>
        <v>34279923</v>
      </c>
      <c r="G716" s="1347">
        <f>SUM(G717:G722)</f>
        <v>6079259</v>
      </c>
      <c r="H716" s="1347">
        <f>SUM(H717:H722)</f>
        <v>28200664</v>
      </c>
      <c r="I716" s="1347">
        <f>SUM(I717:I722)</f>
        <v>0</v>
      </c>
      <c r="J716" s="1348">
        <f>SUM(J717:J722)</f>
        <v>0</v>
      </c>
      <c r="K716" s="416"/>
    </row>
    <row r="717" spans="1:226" s="416" customFormat="1" ht="15" customHeight="1">
      <c r="A717" s="1809"/>
      <c r="B717" s="1827"/>
      <c r="C717" s="1815"/>
      <c r="D717" s="1818"/>
      <c r="E717" s="1352" t="s">
        <v>405</v>
      </c>
      <c r="F717" s="1353">
        <f t="shared" ref="F717:F722" si="70">SUM(G717:J717)</f>
        <v>400000</v>
      </c>
      <c r="G717" s="1353">
        <v>400000</v>
      </c>
      <c r="H717" s="1353"/>
      <c r="I717" s="1353"/>
      <c r="J717" s="1354"/>
    </row>
    <row r="718" spans="1:226" s="418" customFormat="1" ht="15" customHeight="1">
      <c r="A718" s="1809"/>
      <c r="B718" s="1827"/>
      <c r="C718" s="1815"/>
      <c r="D718" s="1818"/>
      <c r="E718" s="1352" t="s">
        <v>406</v>
      </c>
      <c r="F718" s="1353">
        <f t="shared" si="70"/>
        <v>25822934</v>
      </c>
      <c r="G718" s="1353"/>
      <c r="H718" s="1353">
        <v>25822934</v>
      </c>
      <c r="I718" s="1353"/>
      <c r="J718" s="1354"/>
      <c r="K718" s="416"/>
      <c r="L718" s="416"/>
      <c r="M718" s="416"/>
      <c r="N718" s="416"/>
      <c r="O718" s="416"/>
      <c r="P718" s="416"/>
      <c r="Q718" s="416"/>
      <c r="R718" s="416"/>
      <c r="S718" s="416"/>
      <c r="T718" s="416"/>
      <c r="U718" s="416"/>
      <c r="V718" s="416"/>
      <c r="W718" s="416"/>
      <c r="X718" s="416"/>
      <c r="Y718" s="416"/>
      <c r="Z718" s="416"/>
      <c r="AA718" s="416"/>
      <c r="AB718" s="416"/>
      <c r="AC718" s="416"/>
      <c r="AD718" s="416"/>
      <c r="AE718" s="416"/>
      <c r="AF718" s="416"/>
      <c r="AG718" s="416"/>
      <c r="AH718" s="416"/>
      <c r="AI718" s="416"/>
      <c r="AJ718" s="416"/>
      <c r="AK718" s="416"/>
      <c r="AL718" s="416"/>
      <c r="AM718" s="416"/>
      <c r="AN718" s="416"/>
      <c r="AO718" s="416"/>
      <c r="AP718" s="416"/>
      <c r="AQ718" s="416"/>
      <c r="AR718" s="416"/>
      <c r="AS718" s="416"/>
      <c r="AT718" s="416"/>
      <c r="AU718" s="416"/>
      <c r="AV718" s="416"/>
      <c r="AW718" s="416"/>
      <c r="AX718" s="416"/>
      <c r="AY718" s="416"/>
      <c r="AZ718" s="416"/>
      <c r="BA718" s="416"/>
      <c r="BB718" s="416"/>
      <c r="BC718" s="416"/>
      <c r="BD718" s="416"/>
      <c r="BE718" s="416"/>
      <c r="BF718" s="416"/>
      <c r="BG718" s="416"/>
      <c r="BH718" s="416"/>
      <c r="BI718" s="416"/>
      <c r="BJ718" s="416"/>
      <c r="BK718" s="416"/>
      <c r="BL718" s="416"/>
      <c r="BM718" s="416"/>
      <c r="BN718" s="416"/>
      <c r="BO718" s="416"/>
      <c r="BP718" s="416"/>
      <c r="BQ718" s="416"/>
      <c r="BR718" s="416"/>
      <c r="BS718" s="416"/>
      <c r="BT718" s="416"/>
      <c r="BU718" s="416"/>
      <c r="BV718" s="416"/>
      <c r="BW718" s="416"/>
      <c r="BX718" s="416"/>
      <c r="BY718" s="416"/>
      <c r="BZ718" s="416"/>
      <c r="CA718" s="416"/>
      <c r="CB718" s="416"/>
      <c r="CC718" s="416"/>
      <c r="CD718" s="416"/>
      <c r="CE718" s="416"/>
      <c r="CF718" s="416"/>
      <c r="CG718" s="416"/>
      <c r="CH718" s="416"/>
      <c r="CI718" s="416"/>
      <c r="CJ718" s="416"/>
      <c r="CK718" s="416"/>
      <c r="CL718" s="416"/>
      <c r="CM718" s="416"/>
      <c r="CN718" s="416"/>
      <c r="CO718" s="416"/>
      <c r="CP718" s="416"/>
      <c r="CQ718" s="416"/>
      <c r="CR718" s="416"/>
      <c r="CS718" s="416"/>
      <c r="CT718" s="416"/>
      <c r="CU718" s="416"/>
      <c r="CV718" s="416"/>
      <c r="CW718" s="416"/>
      <c r="CX718" s="416"/>
      <c r="CY718" s="416"/>
      <c r="CZ718" s="416"/>
      <c r="DA718" s="416"/>
      <c r="DB718" s="416"/>
      <c r="DC718" s="416"/>
      <c r="DD718" s="416"/>
      <c r="DE718" s="416"/>
      <c r="DF718" s="416"/>
      <c r="DG718" s="416"/>
      <c r="DH718" s="416"/>
      <c r="DI718" s="416"/>
      <c r="DJ718" s="416"/>
      <c r="DK718" s="416"/>
      <c r="DL718" s="416"/>
      <c r="DM718" s="416"/>
      <c r="DN718" s="416"/>
      <c r="DO718" s="416"/>
      <c r="DP718" s="416"/>
      <c r="DQ718" s="416"/>
      <c r="DR718" s="416"/>
      <c r="DS718" s="416"/>
      <c r="DT718" s="416"/>
      <c r="DU718" s="416"/>
      <c r="DV718" s="416"/>
      <c r="DW718" s="416"/>
      <c r="DX718" s="416"/>
      <c r="DY718" s="416"/>
      <c r="DZ718" s="416"/>
      <c r="EA718" s="416"/>
      <c r="EB718" s="416"/>
      <c r="EC718" s="416"/>
      <c r="ED718" s="416"/>
      <c r="EE718" s="416"/>
      <c r="EF718" s="416"/>
      <c r="EG718" s="416"/>
      <c r="EH718" s="416"/>
      <c r="EI718" s="416"/>
      <c r="EJ718" s="416"/>
      <c r="EK718" s="416"/>
      <c r="EL718" s="416"/>
      <c r="EM718" s="416"/>
      <c r="EN718" s="416"/>
      <c r="EO718" s="416"/>
      <c r="EP718" s="416"/>
      <c r="EQ718" s="416"/>
      <c r="ER718" s="416"/>
      <c r="ES718" s="416"/>
      <c r="ET718" s="416"/>
      <c r="EU718" s="416"/>
      <c r="EV718" s="416"/>
      <c r="EW718" s="416"/>
      <c r="EX718" s="416"/>
      <c r="EY718" s="416"/>
      <c r="EZ718" s="416"/>
      <c r="FA718" s="416"/>
      <c r="FB718" s="416"/>
      <c r="FC718" s="416"/>
      <c r="FD718" s="416"/>
      <c r="FE718" s="416"/>
      <c r="FF718" s="416"/>
      <c r="FG718" s="416"/>
      <c r="FH718" s="416"/>
      <c r="FI718" s="416"/>
      <c r="FJ718" s="416"/>
      <c r="FK718" s="416"/>
      <c r="FL718" s="416"/>
      <c r="FM718" s="416"/>
      <c r="FN718" s="416"/>
      <c r="FO718" s="416"/>
      <c r="FP718" s="416"/>
      <c r="FQ718" s="416"/>
      <c r="FR718" s="416"/>
      <c r="FS718" s="416"/>
      <c r="FT718" s="416"/>
      <c r="FU718" s="416"/>
      <c r="FV718" s="416"/>
      <c r="FW718" s="416"/>
      <c r="FX718" s="416"/>
      <c r="FY718" s="416"/>
      <c r="FZ718" s="416"/>
      <c r="GA718" s="416"/>
      <c r="GB718" s="416"/>
      <c r="GC718" s="416"/>
      <c r="GD718" s="416"/>
      <c r="GE718" s="416"/>
      <c r="GF718" s="416"/>
      <c r="GG718" s="416"/>
      <c r="GH718" s="416"/>
      <c r="GI718" s="416"/>
      <c r="GJ718" s="416"/>
      <c r="GK718" s="416"/>
      <c r="GL718" s="416"/>
      <c r="GM718" s="416"/>
      <c r="GN718" s="416"/>
      <c r="GO718" s="416"/>
      <c r="GP718" s="416"/>
      <c r="GQ718" s="416"/>
      <c r="GR718" s="416"/>
      <c r="GS718" s="416"/>
      <c r="GT718" s="416"/>
      <c r="GU718" s="416"/>
      <c r="GV718" s="416"/>
      <c r="GW718" s="416"/>
      <c r="GX718" s="416"/>
      <c r="GY718" s="416"/>
      <c r="GZ718" s="416"/>
      <c r="HA718" s="416"/>
      <c r="HB718" s="416"/>
      <c r="HC718" s="416"/>
      <c r="HD718" s="416"/>
      <c r="HE718" s="416"/>
      <c r="HF718" s="416"/>
      <c r="HG718" s="416"/>
      <c r="HH718" s="416"/>
      <c r="HI718" s="416"/>
      <c r="HJ718" s="416"/>
      <c r="HK718" s="416"/>
      <c r="HL718" s="416"/>
      <c r="HM718" s="416"/>
      <c r="HN718" s="416"/>
      <c r="HO718" s="416"/>
      <c r="HP718" s="416"/>
      <c r="HQ718" s="416"/>
      <c r="HR718" s="416"/>
    </row>
    <row r="719" spans="1:226" s="418" customFormat="1" ht="15" customHeight="1">
      <c r="A719" s="1809"/>
      <c r="B719" s="1827"/>
      <c r="C719" s="1815"/>
      <c r="D719" s="1818"/>
      <c r="E719" s="1358">
        <v>6059</v>
      </c>
      <c r="F719" s="1359">
        <f t="shared" si="70"/>
        <v>4556988</v>
      </c>
      <c r="G719" s="1359">
        <v>4556988</v>
      </c>
      <c r="H719" s="1359"/>
      <c r="I719" s="1359"/>
      <c r="J719" s="1360"/>
      <c r="K719" s="416"/>
    </row>
    <row r="720" spans="1:226" s="418" customFormat="1" ht="15" customHeight="1">
      <c r="A720" s="1809"/>
      <c r="B720" s="1827"/>
      <c r="C720" s="1815"/>
      <c r="D720" s="1818"/>
      <c r="E720" s="1358">
        <v>6060</v>
      </c>
      <c r="F720" s="1359">
        <f t="shared" si="70"/>
        <v>702671</v>
      </c>
      <c r="G720" s="1359">
        <v>702671</v>
      </c>
      <c r="H720" s="1359"/>
      <c r="I720" s="1359"/>
      <c r="J720" s="1360"/>
      <c r="K720" s="416"/>
    </row>
    <row r="721" spans="1:226" s="418" customFormat="1" ht="15" customHeight="1">
      <c r="A721" s="1809"/>
      <c r="B721" s="1827"/>
      <c r="C721" s="1815"/>
      <c r="D721" s="1818"/>
      <c r="E721" s="1384" t="s">
        <v>397</v>
      </c>
      <c r="F721" s="1359">
        <f t="shared" si="70"/>
        <v>2377730</v>
      </c>
      <c r="G721" s="1359"/>
      <c r="H721" s="1359">
        <v>2377730</v>
      </c>
      <c r="I721" s="1359"/>
      <c r="J721" s="1360"/>
      <c r="K721" s="416"/>
    </row>
    <row r="722" spans="1:226" s="418" customFormat="1" ht="15" customHeight="1" thickBot="1">
      <c r="A722" s="1809"/>
      <c r="B722" s="1827"/>
      <c r="C722" s="1815"/>
      <c r="D722" s="1818"/>
      <c r="E722" s="1358">
        <v>6069</v>
      </c>
      <c r="F722" s="1359">
        <f t="shared" si="70"/>
        <v>419600</v>
      </c>
      <c r="G722" s="1359">
        <v>419600</v>
      </c>
      <c r="H722" s="1359"/>
      <c r="I722" s="1359"/>
      <c r="J722" s="1360"/>
      <c r="K722" s="416"/>
    </row>
    <row r="723" spans="1:226" s="418" customFormat="1" ht="24.95" customHeight="1">
      <c r="A723" s="1808" t="s">
        <v>368</v>
      </c>
      <c r="B723" s="1826" t="s">
        <v>488</v>
      </c>
      <c r="C723" s="1814">
        <v>600</v>
      </c>
      <c r="D723" s="1817" t="s">
        <v>482</v>
      </c>
      <c r="E723" s="1361" t="s">
        <v>322</v>
      </c>
      <c r="F723" s="1362">
        <f>SUM(F724,F731)</f>
        <v>23698455</v>
      </c>
      <c r="G723" s="1362">
        <f>SUM(G724,G731)</f>
        <v>1000000</v>
      </c>
      <c r="H723" s="1362">
        <f>SUM(H724,H731)</f>
        <v>18619458</v>
      </c>
      <c r="I723" s="1362">
        <f>SUM(I724,I731)</f>
        <v>0</v>
      </c>
      <c r="J723" s="1363">
        <f>SUM(J724,J731)</f>
        <v>4078997</v>
      </c>
      <c r="K723" s="416"/>
    </row>
    <row r="724" spans="1:226" s="418" customFormat="1" ht="18" customHeight="1">
      <c r="A724" s="1809"/>
      <c r="B724" s="1827"/>
      <c r="C724" s="1815"/>
      <c r="D724" s="1818"/>
      <c r="E724" s="1346" t="s">
        <v>323</v>
      </c>
      <c r="F724" s="1347">
        <f>SUM(F725,F728)</f>
        <v>0</v>
      </c>
      <c r="G724" s="1347">
        <f>SUM(G725,G728)</f>
        <v>0</v>
      </c>
      <c r="H724" s="1347">
        <f>SUM(H725,H728)</f>
        <v>0</v>
      </c>
      <c r="I724" s="1347">
        <f>SUM(I725,I728)</f>
        <v>0</v>
      </c>
      <c r="J724" s="1348">
        <f>SUM(J725,J728)</f>
        <v>0</v>
      </c>
      <c r="K724" s="416"/>
    </row>
    <row r="725" spans="1:226" s="418" customFormat="1" ht="24.95" hidden="1" customHeight="1">
      <c r="A725" s="1809"/>
      <c r="B725" s="1827"/>
      <c r="C725" s="1815"/>
      <c r="D725" s="1818"/>
      <c r="E725" s="1349" t="s">
        <v>335</v>
      </c>
      <c r="F725" s="1350">
        <f>SUM(F726:F727)</f>
        <v>0</v>
      </c>
      <c r="G725" s="1350">
        <f>SUM(G726:G727)</f>
        <v>0</v>
      </c>
      <c r="H725" s="1350">
        <f>SUM(H726:H727)</f>
        <v>0</v>
      </c>
      <c r="I725" s="1350">
        <f>SUM(I726:I727)</f>
        <v>0</v>
      </c>
      <c r="J725" s="1351">
        <f>SUM(J726:J727)</f>
        <v>0</v>
      </c>
      <c r="K725" s="416"/>
    </row>
    <row r="726" spans="1:226" s="418" customFormat="1" ht="15" hidden="1" customHeight="1">
      <c r="A726" s="1809"/>
      <c r="B726" s="1827"/>
      <c r="C726" s="1815"/>
      <c r="D726" s="1818"/>
      <c r="E726" s="1352"/>
      <c r="F726" s="1353">
        <f>SUM(G726:J726)</f>
        <v>0</v>
      </c>
      <c r="G726" s="1353"/>
      <c r="H726" s="1353"/>
      <c r="I726" s="1353"/>
      <c r="J726" s="1354"/>
      <c r="K726" s="416"/>
    </row>
    <row r="727" spans="1:226" s="418" customFormat="1" ht="15" hidden="1" customHeight="1">
      <c r="A727" s="1809"/>
      <c r="B727" s="1827"/>
      <c r="C727" s="1815"/>
      <c r="D727" s="1818"/>
      <c r="E727" s="1352"/>
      <c r="F727" s="1353">
        <f>SUM(G727:J727)</f>
        <v>0</v>
      </c>
      <c r="G727" s="1353"/>
      <c r="H727" s="1353"/>
      <c r="I727" s="1353"/>
      <c r="J727" s="1354"/>
      <c r="K727" s="416"/>
    </row>
    <row r="728" spans="1:226" s="418" customFormat="1" ht="24.95" hidden="1" customHeight="1">
      <c r="A728" s="1809"/>
      <c r="B728" s="1827"/>
      <c r="C728" s="1815"/>
      <c r="D728" s="1818"/>
      <c r="E728" s="1349" t="s">
        <v>340</v>
      </c>
      <c r="F728" s="1350">
        <f>SUM(F729:F730)</f>
        <v>0</v>
      </c>
      <c r="G728" s="1350">
        <f>SUM(G729:G730)</f>
        <v>0</v>
      </c>
      <c r="H728" s="1350">
        <f>SUM(H729:H730)</f>
        <v>0</v>
      </c>
      <c r="I728" s="1350">
        <f>SUM(I729:I730)</f>
        <v>0</v>
      </c>
      <c r="J728" s="1351">
        <f>SUM(J729:J730)</f>
        <v>0</v>
      </c>
      <c r="K728" s="416"/>
    </row>
    <row r="729" spans="1:226" s="418" customFormat="1" ht="15" hidden="1" customHeight="1">
      <c r="A729" s="1809"/>
      <c r="B729" s="1827"/>
      <c r="C729" s="1815"/>
      <c r="D729" s="1818"/>
      <c r="E729" s="1352"/>
      <c r="F729" s="1353">
        <f>SUM(G729:J729)</f>
        <v>0</v>
      </c>
      <c r="G729" s="1353"/>
      <c r="H729" s="1353"/>
      <c r="I729" s="1353"/>
      <c r="J729" s="1354"/>
      <c r="K729" s="416"/>
    </row>
    <row r="730" spans="1:226" s="418" customFormat="1" ht="15" hidden="1" customHeight="1">
      <c r="A730" s="1809"/>
      <c r="B730" s="1827"/>
      <c r="C730" s="1815"/>
      <c r="D730" s="1818"/>
      <c r="E730" s="1352"/>
      <c r="F730" s="1353">
        <f>SUM(G730:J730)</f>
        <v>0</v>
      </c>
      <c r="G730" s="1353"/>
      <c r="H730" s="1353"/>
      <c r="I730" s="1353"/>
      <c r="J730" s="1354"/>
      <c r="K730" s="416"/>
    </row>
    <row r="731" spans="1:226" s="418" customFormat="1" ht="16.5" customHeight="1">
      <c r="A731" s="1809"/>
      <c r="B731" s="1827"/>
      <c r="C731" s="1815"/>
      <c r="D731" s="1818"/>
      <c r="E731" s="1355" t="s">
        <v>324</v>
      </c>
      <c r="F731" s="1347">
        <f>SUM(F732:F737)</f>
        <v>23698455</v>
      </c>
      <c r="G731" s="1347">
        <f>SUM(G732:G737)</f>
        <v>1000000</v>
      </c>
      <c r="H731" s="1347">
        <f>SUM(H732:H737)</f>
        <v>18619458</v>
      </c>
      <c r="I731" s="1347">
        <f>SUM(I732:I737)</f>
        <v>0</v>
      </c>
      <c r="J731" s="1348">
        <f>SUM(J732:J737)</f>
        <v>4078997</v>
      </c>
      <c r="K731" s="416"/>
    </row>
    <row r="732" spans="1:226" s="416" customFormat="1" ht="15" customHeight="1">
      <c r="A732" s="1809"/>
      <c r="B732" s="1827"/>
      <c r="C732" s="1815"/>
      <c r="D732" s="1818"/>
      <c r="E732" s="1352" t="s">
        <v>405</v>
      </c>
      <c r="F732" s="1353">
        <f t="shared" ref="F732:F737" si="71">SUM(G732:J732)</f>
        <v>1293211</v>
      </c>
      <c r="G732" s="1353">
        <v>1000000</v>
      </c>
      <c r="H732" s="1353"/>
      <c r="I732" s="1353"/>
      <c r="J732" s="1354">
        <v>293211</v>
      </c>
    </row>
    <row r="733" spans="1:226" s="418" customFormat="1" ht="15" customHeight="1">
      <c r="A733" s="1809"/>
      <c r="B733" s="1827"/>
      <c r="C733" s="1815"/>
      <c r="D733" s="1818"/>
      <c r="E733" s="1352" t="s">
        <v>406</v>
      </c>
      <c r="F733" s="1353">
        <f t="shared" si="71"/>
        <v>17769458</v>
      </c>
      <c r="G733" s="1353"/>
      <c r="H733" s="1353">
        <v>17769458</v>
      </c>
      <c r="I733" s="1353"/>
      <c r="J733" s="1354"/>
      <c r="K733" s="416"/>
      <c r="L733" s="416"/>
      <c r="M733" s="416"/>
      <c r="N733" s="416"/>
      <c r="O733" s="416"/>
      <c r="P733" s="416"/>
      <c r="Q733" s="416"/>
      <c r="R733" s="416"/>
      <c r="S733" s="416"/>
      <c r="T733" s="416"/>
      <c r="U733" s="416"/>
      <c r="V733" s="416"/>
      <c r="W733" s="416"/>
      <c r="X733" s="416"/>
      <c r="Y733" s="416"/>
      <c r="Z733" s="416"/>
      <c r="AA733" s="416"/>
      <c r="AB733" s="416"/>
      <c r="AC733" s="416"/>
      <c r="AD733" s="416"/>
      <c r="AE733" s="416"/>
      <c r="AF733" s="416"/>
      <c r="AG733" s="416"/>
      <c r="AH733" s="416"/>
      <c r="AI733" s="416"/>
      <c r="AJ733" s="416"/>
      <c r="AK733" s="416"/>
      <c r="AL733" s="416"/>
      <c r="AM733" s="416"/>
      <c r="AN733" s="416"/>
      <c r="AO733" s="416"/>
      <c r="AP733" s="416"/>
      <c r="AQ733" s="416"/>
      <c r="AR733" s="416"/>
      <c r="AS733" s="416"/>
      <c r="AT733" s="416"/>
      <c r="AU733" s="416"/>
      <c r="AV733" s="416"/>
      <c r="AW733" s="416"/>
      <c r="AX733" s="416"/>
      <c r="AY733" s="416"/>
      <c r="AZ733" s="416"/>
      <c r="BA733" s="416"/>
      <c r="BB733" s="416"/>
      <c r="BC733" s="416"/>
      <c r="BD733" s="416"/>
      <c r="BE733" s="416"/>
      <c r="BF733" s="416"/>
      <c r="BG733" s="416"/>
      <c r="BH733" s="416"/>
      <c r="BI733" s="416"/>
      <c r="BJ733" s="416"/>
      <c r="BK733" s="416"/>
      <c r="BL733" s="416"/>
      <c r="BM733" s="416"/>
      <c r="BN733" s="416"/>
      <c r="BO733" s="416"/>
      <c r="BP733" s="416"/>
      <c r="BQ733" s="416"/>
      <c r="BR733" s="416"/>
      <c r="BS733" s="416"/>
      <c r="BT733" s="416"/>
      <c r="BU733" s="416"/>
      <c r="BV733" s="416"/>
      <c r="BW733" s="416"/>
      <c r="BX733" s="416"/>
      <c r="BY733" s="416"/>
      <c r="BZ733" s="416"/>
      <c r="CA733" s="416"/>
      <c r="CB733" s="416"/>
      <c r="CC733" s="416"/>
      <c r="CD733" s="416"/>
      <c r="CE733" s="416"/>
      <c r="CF733" s="416"/>
      <c r="CG733" s="416"/>
      <c r="CH733" s="416"/>
      <c r="CI733" s="416"/>
      <c r="CJ733" s="416"/>
      <c r="CK733" s="416"/>
      <c r="CL733" s="416"/>
      <c r="CM733" s="416"/>
      <c r="CN733" s="416"/>
      <c r="CO733" s="416"/>
      <c r="CP733" s="416"/>
      <c r="CQ733" s="416"/>
      <c r="CR733" s="416"/>
      <c r="CS733" s="416"/>
      <c r="CT733" s="416"/>
      <c r="CU733" s="416"/>
      <c r="CV733" s="416"/>
      <c r="CW733" s="416"/>
      <c r="CX733" s="416"/>
      <c r="CY733" s="416"/>
      <c r="CZ733" s="416"/>
      <c r="DA733" s="416"/>
      <c r="DB733" s="416"/>
      <c r="DC733" s="416"/>
      <c r="DD733" s="416"/>
      <c r="DE733" s="416"/>
      <c r="DF733" s="416"/>
      <c r="DG733" s="416"/>
      <c r="DH733" s="416"/>
      <c r="DI733" s="416"/>
      <c r="DJ733" s="416"/>
      <c r="DK733" s="416"/>
      <c r="DL733" s="416"/>
      <c r="DM733" s="416"/>
      <c r="DN733" s="416"/>
      <c r="DO733" s="416"/>
      <c r="DP733" s="416"/>
      <c r="DQ733" s="416"/>
      <c r="DR733" s="416"/>
      <c r="DS733" s="416"/>
      <c r="DT733" s="416"/>
      <c r="DU733" s="416"/>
      <c r="DV733" s="416"/>
      <c r="DW733" s="416"/>
      <c r="DX733" s="416"/>
      <c r="DY733" s="416"/>
      <c r="DZ733" s="416"/>
      <c r="EA733" s="416"/>
      <c r="EB733" s="416"/>
      <c r="EC733" s="416"/>
      <c r="ED733" s="416"/>
      <c r="EE733" s="416"/>
      <c r="EF733" s="416"/>
      <c r="EG733" s="416"/>
      <c r="EH733" s="416"/>
      <c r="EI733" s="416"/>
      <c r="EJ733" s="416"/>
      <c r="EK733" s="416"/>
      <c r="EL733" s="416"/>
      <c r="EM733" s="416"/>
      <c r="EN733" s="416"/>
      <c r="EO733" s="416"/>
      <c r="EP733" s="416"/>
      <c r="EQ733" s="416"/>
      <c r="ER733" s="416"/>
      <c r="ES733" s="416"/>
      <c r="ET733" s="416"/>
      <c r="EU733" s="416"/>
      <c r="EV733" s="416"/>
      <c r="EW733" s="416"/>
      <c r="EX733" s="416"/>
      <c r="EY733" s="416"/>
      <c r="EZ733" s="416"/>
      <c r="FA733" s="416"/>
      <c r="FB733" s="416"/>
      <c r="FC733" s="416"/>
      <c r="FD733" s="416"/>
      <c r="FE733" s="416"/>
      <c r="FF733" s="416"/>
      <c r="FG733" s="416"/>
      <c r="FH733" s="416"/>
      <c r="FI733" s="416"/>
      <c r="FJ733" s="416"/>
      <c r="FK733" s="416"/>
      <c r="FL733" s="416"/>
      <c r="FM733" s="416"/>
      <c r="FN733" s="416"/>
      <c r="FO733" s="416"/>
      <c r="FP733" s="416"/>
      <c r="FQ733" s="416"/>
      <c r="FR733" s="416"/>
      <c r="FS733" s="416"/>
      <c r="FT733" s="416"/>
      <c r="FU733" s="416"/>
      <c r="FV733" s="416"/>
      <c r="FW733" s="416"/>
      <c r="FX733" s="416"/>
      <c r="FY733" s="416"/>
      <c r="FZ733" s="416"/>
      <c r="GA733" s="416"/>
      <c r="GB733" s="416"/>
      <c r="GC733" s="416"/>
      <c r="GD733" s="416"/>
      <c r="GE733" s="416"/>
      <c r="GF733" s="416"/>
      <c r="GG733" s="416"/>
      <c r="GH733" s="416"/>
      <c r="GI733" s="416"/>
      <c r="GJ733" s="416"/>
      <c r="GK733" s="416"/>
      <c r="GL733" s="416"/>
      <c r="GM733" s="416"/>
      <c r="GN733" s="416"/>
      <c r="GO733" s="416"/>
      <c r="GP733" s="416"/>
      <c r="GQ733" s="416"/>
      <c r="GR733" s="416"/>
      <c r="GS733" s="416"/>
      <c r="GT733" s="416"/>
      <c r="GU733" s="416"/>
      <c r="GV733" s="416"/>
      <c r="GW733" s="416"/>
      <c r="GX733" s="416"/>
      <c r="GY733" s="416"/>
      <c r="GZ733" s="416"/>
      <c r="HA733" s="416"/>
      <c r="HB733" s="416"/>
      <c r="HC733" s="416"/>
      <c r="HD733" s="416"/>
      <c r="HE733" s="416"/>
      <c r="HF733" s="416"/>
      <c r="HG733" s="416"/>
      <c r="HH733" s="416"/>
      <c r="HI733" s="416"/>
      <c r="HJ733" s="416"/>
      <c r="HK733" s="416"/>
      <c r="HL733" s="416"/>
      <c r="HM733" s="416"/>
      <c r="HN733" s="416"/>
      <c r="HO733" s="416"/>
      <c r="HP733" s="416"/>
      <c r="HQ733" s="416"/>
      <c r="HR733" s="416"/>
    </row>
    <row r="734" spans="1:226" s="418" customFormat="1" ht="15" customHeight="1">
      <c r="A734" s="1809"/>
      <c r="B734" s="1827"/>
      <c r="C734" s="1815"/>
      <c r="D734" s="1818"/>
      <c r="E734" s="1358">
        <v>6059</v>
      </c>
      <c r="F734" s="1359">
        <f t="shared" si="71"/>
        <v>3135786</v>
      </c>
      <c r="G734" s="1359"/>
      <c r="H734" s="1359"/>
      <c r="I734" s="1359"/>
      <c r="J734" s="1360">
        <v>3135786</v>
      </c>
      <c r="K734" s="416"/>
    </row>
    <row r="735" spans="1:226" s="418" customFormat="1" ht="15" customHeight="1">
      <c r="A735" s="1809"/>
      <c r="B735" s="1827"/>
      <c r="C735" s="1815"/>
      <c r="D735" s="1818"/>
      <c r="E735" s="1358">
        <v>6060</v>
      </c>
      <c r="F735" s="1359">
        <f t="shared" si="71"/>
        <v>500000</v>
      </c>
      <c r="G735" s="1359"/>
      <c r="H735" s="1359"/>
      <c r="I735" s="1359"/>
      <c r="J735" s="1360">
        <v>500000</v>
      </c>
      <c r="K735" s="416"/>
    </row>
    <row r="736" spans="1:226" s="418" customFormat="1" ht="15" customHeight="1">
      <c r="A736" s="1809"/>
      <c r="B736" s="1827"/>
      <c r="C736" s="1815"/>
      <c r="D736" s="1818"/>
      <c r="E736" s="1384" t="s">
        <v>397</v>
      </c>
      <c r="F736" s="1359">
        <f t="shared" si="71"/>
        <v>850000</v>
      </c>
      <c r="G736" s="1359"/>
      <c r="H736" s="1359">
        <v>850000</v>
      </c>
      <c r="I736" s="1359"/>
      <c r="J736" s="1360"/>
      <c r="K736" s="416"/>
    </row>
    <row r="737" spans="1:226" s="418" customFormat="1" ht="15" customHeight="1" thickBot="1">
      <c r="A737" s="1810"/>
      <c r="B737" s="1828"/>
      <c r="C737" s="1816"/>
      <c r="D737" s="1819"/>
      <c r="E737" s="1356">
        <v>6069</v>
      </c>
      <c r="F737" s="1357">
        <f t="shared" si="71"/>
        <v>150000</v>
      </c>
      <c r="G737" s="1357"/>
      <c r="H737" s="1357"/>
      <c r="I737" s="1357"/>
      <c r="J737" s="1373">
        <v>150000</v>
      </c>
      <c r="K737" s="416"/>
    </row>
    <row r="738" spans="1:226" s="418" customFormat="1" ht="24.95" customHeight="1">
      <c r="A738" s="1809" t="s">
        <v>383</v>
      </c>
      <c r="B738" s="1827" t="s">
        <v>489</v>
      </c>
      <c r="C738" s="1815">
        <v>600</v>
      </c>
      <c r="D738" s="1818" t="s">
        <v>482</v>
      </c>
      <c r="E738" s="1340" t="s">
        <v>322</v>
      </c>
      <c r="F738" s="1341">
        <f>SUM(F739,F746)</f>
        <v>17127508</v>
      </c>
      <c r="G738" s="1341">
        <f>SUM(G739,G746)</f>
        <v>2500000</v>
      </c>
      <c r="H738" s="1341">
        <f>SUM(H739,H746)</f>
        <v>12433381</v>
      </c>
      <c r="I738" s="1341">
        <f>SUM(I739,I746)</f>
        <v>2194127</v>
      </c>
      <c r="J738" s="1342">
        <f>SUM(J739,J746)</f>
        <v>0</v>
      </c>
      <c r="K738" s="416"/>
    </row>
    <row r="739" spans="1:226" s="418" customFormat="1" ht="16.5" customHeight="1">
      <c r="A739" s="1809"/>
      <c r="B739" s="1827"/>
      <c r="C739" s="1815"/>
      <c r="D739" s="1818"/>
      <c r="E739" s="1346" t="s">
        <v>323</v>
      </c>
      <c r="F739" s="1347">
        <f>SUM(F740,F743)</f>
        <v>0</v>
      </c>
      <c r="G739" s="1347">
        <f>SUM(G740,G743)</f>
        <v>0</v>
      </c>
      <c r="H739" s="1347">
        <f>SUM(H740,H743)</f>
        <v>0</v>
      </c>
      <c r="I739" s="1347">
        <f>SUM(I740,I743)</f>
        <v>0</v>
      </c>
      <c r="J739" s="1348">
        <f>SUM(J740,J743)</f>
        <v>0</v>
      </c>
      <c r="K739" s="416"/>
    </row>
    <row r="740" spans="1:226" s="418" customFormat="1" ht="24.95" hidden="1" customHeight="1">
      <c r="A740" s="1809"/>
      <c r="B740" s="1827"/>
      <c r="C740" s="1815"/>
      <c r="D740" s="1818"/>
      <c r="E740" s="1349" t="s">
        <v>335</v>
      </c>
      <c r="F740" s="1350">
        <f>SUM(F741:F742)</f>
        <v>0</v>
      </c>
      <c r="G740" s="1350">
        <f>SUM(G741:G742)</f>
        <v>0</v>
      </c>
      <c r="H740" s="1350">
        <f>SUM(H741:H742)</f>
        <v>0</v>
      </c>
      <c r="I740" s="1350">
        <f>SUM(I741:I742)</f>
        <v>0</v>
      </c>
      <c r="J740" s="1351">
        <f>SUM(J741:J742)</f>
        <v>0</v>
      </c>
      <c r="K740" s="416"/>
    </row>
    <row r="741" spans="1:226" s="418" customFormat="1" ht="15" hidden="1" customHeight="1">
      <c r="A741" s="1809"/>
      <c r="B741" s="1827"/>
      <c r="C741" s="1815"/>
      <c r="D741" s="1818"/>
      <c r="E741" s="1352"/>
      <c r="F741" s="1353">
        <f>SUM(G741:J741)</f>
        <v>0</v>
      </c>
      <c r="G741" s="1353"/>
      <c r="H741" s="1353"/>
      <c r="I741" s="1353"/>
      <c r="J741" s="1354"/>
      <c r="K741" s="416"/>
    </row>
    <row r="742" spans="1:226" s="418" customFormat="1" ht="15" hidden="1" customHeight="1">
      <c r="A742" s="1809"/>
      <c r="B742" s="1827"/>
      <c r="C742" s="1815"/>
      <c r="D742" s="1818"/>
      <c r="E742" s="1352"/>
      <c r="F742" s="1353">
        <f>SUM(G742:J742)</f>
        <v>0</v>
      </c>
      <c r="G742" s="1353"/>
      <c r="H742" s="1353"/>
      <c r="I742" s="1353"/>
      <c r="J742" s="1354"/>
      <c r="K742" s="416"/>
    </row>
    <row r="743" spans="1:226" s="418" customFormat="1" ht="24.95" hidden="1" customHeight="1">
      <c r="A743" s="1809"/>
      <c r="B743" s="1827"/>
      <c r="C743" s="1815"/>
      <c r="D743" s="1818"/>
      <c r="E743" s="1349" t="s">
        <v>340</v>
      </c>
      <c r="F743" s="1350">
        <f>SUM(F744:F745)</f>
        <v>0</v>
      </c>
      <c r="G743" s="1350">
        <f>SUM(G744:G745)</f>
        <v>0</v>
      </c>
      <c r="H743" s="1350">
        <f>SUM(H744:H745)</f>
        <v>0</v>
      </c>
      <c r="I743" s="1350">
        <f>SUM(I744:I745)</f>
        <v>0</v>
      </c>
      <c r="J743" s="1351">
        <f>SUM(J744:J745)</f>
        <v>0</v>
      </c>
      <c r="K743" s="416"/>
    </row>
    <row r="744" spans="1:226" s="418" customFormat="1" ht="15" hidden="1" customHeight="1">
      <c r="A744" s="1809"/>
      <c r="B744" s="1827"/>
      <c r="C744" s="1815"/>
      <c r="D744" s="1818"/>
      <c r="E744" s="1352"/>
      <c r="F744" s="1353">
        <f>SUM(G744:J744)</f>
        <v>0</v>
      </c>
      <c r="G744" s="1353"/>
      <c r="H744" s="1353"/>
      <c r="I744" s="1353"/>
      <c r="J744" s="1354"/>
      <c r="K744" s="416"/>
    </row>
    <row r="745" spans="1:226" s="418" customFormat="1" ht="15" hidden="1" customHeight="1">
      <c r="A745" s="1809"/>
      <c r="B745" s="1827"/>
      <c r="C745" s="1815"/>
      <c r="D745" s="1818"/>
      <c r="E745" s="1352"/>
      <c r="F745" s="1353">
        <f>SUM(G745:J745)</f>
        <v>0</v>
      </c>
      <c r="G745" s="1353"/>
      <c r="H745" s="1353"/>
      <c r="I745" s="1353"/>
      <c r="J745" s="1354"/>
      <c r="K745" s="416"/>
    </row>
    <row r="746" spans="1:226" s="418" customFormat="1" ht="18.75" customHeight="1">
      <c r="A746" s="1809"/>
      <c r="B746" s="1827"/>
      <c r="C746" s="1815"/>
      <c r="D746" s="1818"/>
      <c r="E746" s="1355" t="s">
        <v>324</v>
      </c>
      <c r="F746" s="1347">
        <f>SUM(F747:F752)</f>
        <v>17127508</v>
      </c>
      <c r="G746" s="1347">
        <f>SUM(G747:G752)</f>
        <v>2500000</v>
      </c>
      <c r="H746" s="1347">
        <f>SUM(H747:H752)</f>
        <v>12433381</v>
      </c>
      <c r="I746" s="1347">
        <f>SUM(I747:I752)</f>
        <v>2194127</v>
      </c>
      <c r="J746" s="1348">
        <f>SUM(J747:J752)</f>
        <v>0</v>
      </c>
      <c r="K746" s="416"/>
    </row>
    <row r="747" spans="1:226" s="416" customFormat="1" ht="15" customHeight="1">
      <c r="A747" s="1809"/>
      <c r="B747" s="1827"/>
      <c r="C747" s="1815"/>
      <c r="D747" s="1818"/>
      <c r="E747" s="1352" t="s">
        <v>405</v>
      </c>
      <c r="F747" s="1353">
        <f t="shared" ref="F747:F752" si="72">SUM(G747:J747)</f>
        <v>2500000</v>
      </c>
      <c r="G747" s="1353">
        <v>2500000</v>
      </c>
      <c r="H747" s="1353"/>
      <c r="I747" s="1353"/>
      <c r="J747" s="1354"/>
    </row>
    <row r="748" spans="1:226" s="418" customFormat="1" ht="15" customHeight="1">
      <c r="A748" s="1809"/>
      <c r="B748" s="1827"/>
      <c r="C748" s="1815"/>
      <c r="D748" s="1818"/>
      <c r="E748" s="1352" t="s">
        <v>406</v>
      </c>
      <c r="F748" s="1353">
        <f t="shared" si="72"/>
        <v>12433381</v>
      </c>
      <c r="G748" s="1353"/>
      <c r="H748" s="1353">
        <v>12433381</v>
      </c>
      <c r="I748" s="1353"/>
      <c r="J748" s="1354"/>
      <c r="K748" s="416"/>
      <c r="L748" s="416"/>
      <c r="M748" s="416"/>
      <c r="N748" s="416"/>
      <c r="O748" s="416"/>
      <c r="P748" s="416"/>
      <c r="Q748" s="416"/>
      <c r="R748" s="416"/>
      <c r="S748" s="416"/>
      <c r="T748" s="416"/>
      <c r="U748" s="416"/>
      <c r="V748" s="416"/>
      <c r="W748" s="416"/>
      <c r="X748" s="416"/>
      <c r="Y748" s="416"/>
      <c r="Z748" s="416"/>
      <c r="AA748" s="416"/>
      <c r="AB748" s="416"/>
      <c r="AC748" s="416"/>
      <c r="AD748" s="416"/>
      <c r="AE748" s="416"/>
      <c r="AF748" s="416"/>
      <c r="AG748" s="416"/>
      <c r="AH748" s="416"/>
      <c r="AI748" s="416"/>
      <c r="AJ748" s="416"/>
      <c r="AK748" s="416"/>
      <c r="AL748" s="416"/>
      <c r="AM748" s="416"/>
      <c r="AN748" s="416"/>
      <c r="AO748" s="416"/>
      <c r="AP748" s="416"/>
      <c r="AQ748" s="416"/>
      <c r="AR748" s="416"/>
      <c r="AS748" s="416"/>
      <c r="AT748" s="416"/>
      <c r="AU748" s="416"/>
      <c r="AV748" s="416"/>
      <c r="AW748" s="416"/>
      <c r="AX748" s="416"/>
      <c r="AY748" s="416"/>
      <c r="AZ748" s="416"/>
      <c r="BA748" s="416"/>
      <c r="BB748" s="416"/>
      <c r="BC748" s="416"/>
      <c r="BD748" s="416"/>
      <c r="BE748" s="416"/>
      <c r="BF748" s="416"/>
      <c r="BG748" s="416"/>
      <c r="BH748" s="416"/>
      <c r="BI748" s="416"/>
      <c r="BJ748" s="416"/>
      <c r="BK748" s="416"/>
      <c r="BL748" s="416"/>
      <c r="BM748" s="416"/>
      <c r="BN748" s="416"/>
      <c r="BO748" s="416"/>
      <c r="BP748" s="416"/>
      <c r="BQ748" s="416"/>
      <c r="BR748" s="416"/>
      <c r="BS748" s="416"/>
      <c r="BT748" s="416"/>
      <c r="BU748" s="416"/>
      <c r="BV748" s="416"/>
      <c r="BW748" s="416"/>
      <c r="BX748" s="416"/>
      <c r="BY748" s="416"/>
      <c r="BZ748" s="416"/>
      <c r="CA748" s="416"/>
      <c r="CB748" s="416"/>
      <c r="CC748" s="416"/>
      <c r="CD748" s="416"/>
      <c r="CE748" s="416"/>
      <c r="CF748" s="416"/>
      <c r="CG748" s="416"/>
      <c r="CH748" s="416"/>
      <c r="CI748" s="416"/>
      <c r="CJ748" s="416"/>
      <c r="CK748" s="416"/>
      <c r="CL748" s="416"/>
      <c r="CM748" s="416"/>
      <c r="CN748" s="416"/>
      <c r="CO748" s="416"/>
      <c r="CP748" s="416"/>
      <c r="CQ748" s="416"/>
      <c r="CR748" s="416"/>
      <c r="CS748" s="416"/>
      <c r="CT748" s="416"/>
      <c r="CU748" s="416"/>
      <c r="CV748" s="416"/>
      <c r="CW748" s="416"/>
      <c r="CX748" s="416"/>
      <c r="CY748" s="416"/>
      <c r="CZ748" s="416"/>
      <c r="DA748" s="416"/>
      <c r="DB748" s="416"/>
      <c r="DC748" s="416"/>
      <c r="DD748" s="416"/>
      <c r="DE748" s="416"/>
      <c r="DF748" s="416"/>
      <c r="DG748" s="416"/>
      <c r="DH748" s="416"/>
      <c r="DI748" s="416"/>
      <c r="DJ748" s="416"/>
      <c r="DK748" s="416"/>
      <c r="DL748" s="416"/>
      <c r="DM748" s="416"/>
      <c r="DN748" s="416"/>
      <c r="DO748" s="416"/>
      <c r="DP748" s="416"/>
      <c r="DQ748" s="416"/>
      <c r="DR748" s="416"/>
      <c r="DS748" s="416"/>
      <c r="DT748" s="416"/>
      <c r="DU748" s="416"/>
      <c r="DV748" s="416"/>
      <c r="DW748" s="416"/>
      <c r="DX748" s="416"/>
      <c r="DY748" s="416"/>
      <c r="DZ748" s="416"/>
      <c r="EA748" s="416"/>
      <c r="EB748" s="416"/>
      <c r="EC748" s="416"/>
      <c r="ED748" s="416"/>
      <c r="EE748" s="416"/>
      <c r="EF748" s="416"/>
      <c r="EG748" s="416"/>
      <c r="EH748" s="416"/>
      <c r="EI748" s="416"/>
      <c r="EJ748" s="416"/>
      <c r="EK748" s="416"/>
      <c r="EL748" s="416"/>
      <c r="EM748" s="416"/>
      <c r="EN748" s="416"/>
      <c r="EO748" s="416"/>
      <c r="EP748" s="416"/>
      <c r="EQ748" s="416"/>
      <c r="ER748" s="416"/>
      <c r="ES748" s="416"/>
      <c r="ET748" s="416"/>
      <c r="EU748" s="416"/>
      <c r="EV748" s="416"/>
      <c r="EW748" s="416"/>
      <c r="EX748" s="416"/>
      <c r="EY748" s="416"/>
      <c r="EZ748" s="416"/>
      <c r="FA748" s="416"/>
      <c r="FB748" s="416"/>
      <c r="FC748" s="416"/>
      <c r="FD748" s="416"/>
      <c r="FE748" s="416"/>
      <c r="FF748" s="416"/>
      <c r="FG748" s="416"/>
      <c r="FH748" s="416"/>
      <c r="FI748" s="416"/>
      <c r="FJ748" s="416"/>
      <c r="FK748" s="416"/>
      <c r="FL748" s="416"/>
      <c r="FM748" s="416"/>
      <c r="FN748" s="416"/>
      <c r="FO748" s="416"/>
      <c r="FP748" s="416"/>
      <c r="FQ748" s="416"/>
      <c r="FR748" s="416"/>
      <c r="FS748" s="416"/>
      <c r="FT748" s="416"/>
      <c r="FU748" s="416"/>
      <c r="FV748" s="416"/>
      <c r="FW748" s="416"/>
      <c r="FX748" s="416"/>
      <c r="FY748" s="416"/>
      <c r="FZ748" s="416"/>
      <c r="GA748" s="416"/>
      <c r="GB748" s="416"/>
      <c r="GC748" s="416"/>
      <c r="GD748" s="416"/>
      <c r="GE748" s="416"/>
      <c r="GF748" s="416"/>
      <c r="GG748" s="416"/>
      <c r="GH748" s="416"/>
      <c r="GI748" s="416"/>
      <c r="GJ748" s="416"/>
      <c r="GK748" s="416"/>
      <c r="GL748" s="416"/>
      <c r="GM748" s="416"/>
      <c r="GN748" s="416"/>
      <c r="GO748" s="416"/>
      <c r="GP748" s="416"/>
      <c r="GQ748" s="416"/>
      <c r="GR748" s="416"/>
      <c r="GS748" s="416"/>
      <c r="GT748" s="416"/>
      <c r="GU748" s="416"/>
      <c r="GV748" s="416"/>
      <c r="GW748" s="416"/>
      <c r="GX748" s="416"/>
      <c r="GY748" s="416"/>
      <c r="GZ748" s="416"/>
      <c r="HA748" s="416"/>
      <c r="HB748" s="416"/>
      <c r="HC748" s="416"/>
      <c r="HD748" s="416"/>
      <c r="HE748" s="416"/>
      <c r="HF748" s="416"/>
      <c r="HG748" s="416"/>
      <c r="HH748" s="416"/>
      <c r="HI748" s="416"/>
      <c r="HJ748" s="416"/>
      <c r="HK748" s="416"/>
      <c r="HL748" s="416"/>
      <c r="HM748" s="416"/>
      <c r="HN748" s="416"/>
      <c r="HO748" s="416"/>
      <c r="HP748" s="416"/>
      <c r="HQ748" s="416"/>
      <c r="HR748" s="416"/>
    </row>
    <row r="749" spans="1:226" s="418" customFormat="1" ht="15" customHeight="1" thickBot="1">
      <c r="A749" s="1809"/>
      <c r="B749" s="1827"/>
      <c r="C749" s="1815"/>
      <c r="D749" s="1818"/>
      <c r="E749" s="1358">
        <v>6059</v>
      </c>
      <c r="F749" s="1359">
        <f t="shared" si="72"/>
        <v>2194127</v>
      </c>
      <c r="G749" s="1359"/>
      <c r="H749" s="1359"/>
      <c r="I749" s="1359">
        <v>2194127</v>
      </c>
      <c r="J749" s="1360"/>
      <c r="K749" s="416"/>
    </row>
    <row r="750" spans="1:226" s="418" customFormat="1" ht="15" hidden="1" customHeight="1">
      <c r="A750" s="1809"/>
      <c r="B750" s="1827"/>
      <c r="C750" s="1815"/>
      <c r="D750" s="1818"/>
      <c r="E750" s="1358">
        <v>6060</v>
      </c>
      <c r="F750" s="1359">
        <f t="shared" si="72"/>
        <v>0</v>
      </c>
      <c r="G750" s="1359"/>
      <c r="H750" s="1359"/>
      <c r="I750" s="1359"/>
      <c r="J750" s="1360"/>
      <c r="K750" s="416"/>
    </row>
    <row r="751" spans="1:226" s="418" customFormat="1" ht="15" hidden="1" customHeight="1">
      <c r="A751" s="1809"/>
      <c r="B751" s="1827"/>
      <c r="C751" s="1815"/>
      <c r="D751" s="1818"/>
      <c r="E751" s="1384" t="s">
        <v>397</v>
      </c>
      <c r="F751" s="1359">
        <f t="shared" si="72"/>
        <v>0</v>
      </c>
      <c r="G751" s="1359"/>
      <c r="H751" s="1359"/>
      <c r="I751" s="1359"/>
      <c r="J751" s="1360"/>
      <c r="K751" s="416"/>
    </row>
    <row r="752" spans="1:226" s="418" customFormat="1" ht="15" hidden="1" customHeight="1">
      <c r="A752" s="1809"/>
      <c r="B752" s="1827"/>
      <c r="C752" s="1815"/>
      <c r="D752" s="1818"/>
      <c r="E752" s="1358">
        <v>6069</v>
      </c>
      <c r="F752" s="1359">
        <f t="shared" si="72"/>
        <v>0</v>
      </c>
      <c r="G752" s="1359"/>
      <c r="H752" s="1359"/>
      <c r="I752" s="1359"/>
      <c r="J752" s="1360"/>
      <c r="K752" s="416"/>
    </row>
    <row r="753" spans="1:226" s="418" customFormat="1" ht="24.95" customHeight="1">
      <c r="A753" s="1808" t="s">
        <v>385</v>
      </c>
      <c r="B753" s="1826" t="s">
        <v>490</v>
      </c>
      <c r="C753" s="1814">
        <v>600</v>
      </c>
      <c r="D753" s="1817" t="s">
        <v>482</v>
      </c>
      <c r="E753" s="1361" t="s">
        <v>322</v>
      </c>
      <c r="F753" s="1362">
        <f>SUM(F754,F761)</f>
        <v>12112839</v>
      </c>
      <c r="G753" s="1362">
        <f>SUM(G754,G761)</f>
        <v>1120000</v>
      </c>
      <c r="H753" s="1362">
        <f>SUM(H754,H761)</f>
        <v>9343913</v>
      </c>
      <c r="I753" s="1362">
        <f>SUM(I754,I761)</f>
        <v>1648926</v>
      </c>
      <c r="J753" s="1363">
        <f>SUM(J754,J761)</f>
        <v>0</v>
      </c>
      <c r="K753" s="416"/>
    </row>
    <row r="754" spans="1:226" s="418" customFormat="1" ht="17.25" customHeight="1">
      <c r="A754" s="1809"/>
      <c r="B754" s="1827"/>
      <c r="C754" s="1815"/>
      <c r="D754" s="1818"/>
      <c r="E754" s="1346" t="s">
        <v>323</v>
      </c>
      <c r="F754" s="1347">
        <f>SUM(F755,F758)</f>
        <v>0</v>
      </c>
      <c r="G754" s="1347">
        <f>SUM(G755,G758)</f>
        <v>0</v>
      </c>
      <c r="H754" s="1347">
        <f>SUM(H755,H758)</f>
        <v>0</v>
      </c>
      <c r="I754" s="1347">
        <f>SUM(I755,I758)</f>
        <v>0</v>
      </c>
      <c r="J754" s="1348">
        <f>SUM(J755,J758)</f>
        <v>0</v>
      </c>
      <c r="K754" s="416"/>
    </row>
    <row r="755" spans="1:226" s="418" customFormat="1" ht="24.95" hidden="1" customHeight="1">
      <c r="A755" s="1809"/>
      <c r="B755" s="1827"/>
      <c r="C755" s="1815"/>
      <c r="D755" s="1818"/>
      <c r="E755" s="1349" t="s">
        <v>335</v>
      </c>
      <c r="F755" s="1350">
        <f>SUM(F756:F757)</f>
        <v>0</v>
      </c>
      <c r="G755" s="1350">
        <f>SUM(G756:G757)</f>
        <v>0</v>
      </c>
      <c r="H755" s="1350">
        <f>SUM(H756:H757)</f>
        <v>0</v>
      </c>
      <c r="I755" s="1350">
        <f>SUM(I756:I757)</f>
        <v>0</v>
      </c>
      <c r="J755" s="1351">
        <f>SUM(J756:J757)</f>
        <v>0</v>
      </c>
      <c r="K755" s="416"/>
    </row>
    <row r="756" spans="1:226" s="418" customFormat="1" ht="15" hidden="1" customHeight="1">
      <c r="A756" s="1809"/>
      <c r="B756" s="1827"/>
      <c r="C756" s="1815"/>
      <c r="D756" s="1818"/>
      <c r="E756" s="1352"/>
      <c r="F756" s="1353">
        <f>SUM(G756:J756)</f>
        <v>0</v>
      </c>
      <c r="G756" s="1353"/>
      <c r="H756" s="1353"/>
      <c r="I756" s="1353"/>
      <c r="J756" s="1354"/>
      <c r="K756" s="416"/>
    </row>
    <row r="757" spans="1:226" s="418" customFormat="1" ht="15" hidden="1" customHeight="1">
      <c r="A757" s="1809"/>
      <c r="B757" s="1827"/>
      <c r="C757" s="1815"/>
      <c r="D757" s="1818"/>
      <c r="E757" s="1352"/>
      <c r="F757" s="1353">
        <f>SUM(G757:J757)</f>
        <v>0</v>
      </c>
      <c r="G757" s="1353"/>
      <c r="H757" s="1353"/>
      <c r="I757" s="1353"/>
      <c r="J757" s="1354"/>
      <c r="K757" s="416"/>
    </row>
    <row r="758" spans="1:226" s="418" customFormat="1" ht="24.95" hidden="1" customHeight="1">
      <c r="A758" s="1809"/>
      <c r="B758" s="1827"/>
      <c r="C758" s="1815"/>
      <c r="D758" s="1818"/>
      <c r="E758" s="1349" t="s">
        <v>340</v>
      </c>
      <c r="F758" s="1350">
        <f>SUM(F759:F760)</f>
        <v>0</v>
      </c>
      <c r="G758" s="1350">
        <f>SUM(G759:G760)</f>
        <v>0</v>
      </c>
      <c r="H758" s="1350">
        <f>SUM(H759:H760)</f>
        <v>0</v>
      </c>
      <c r="I758" s="1350">
        <f>SUM(I759:I760)</f>
        <v>0</v>
      </c>
      <c r="J758" s="1351">
        <f>SUM(J759:J760)</f>
        <v>0</v>
      </c>
      <c r="K758" s="416"/>
    </row>
    <row r="759" spans="1:226" s="418" customFormat="1" ht="15" hidden="1" customHeight="1">
      <c r="A759" s="1809"/>
      <c r="B759" s="1827"/>
      <c r="C759" s="1815"/>
      <c r="D759" s="1818"/>
      <c r="E759" s="1352"/>
      <c r="F759" s="1353">
        <f>SUM(G759:J759)</f>
        <v>0</v>
      </c>
      <c r="G759" s="1353"/>
      <c r="H759" s="1353"/>
      <c r="I759" s="1353"/>
      <c r="J759" s="1354"/>
      <c r="K759" s="416"/>
    </row>
    <row r="760" spans="1:226" s="418" customFormat="1" ht="15" hidden="1" customHeight="1">
      <c r="A760" s="1809"/>
      <c r="B760" s="1827"/>
      <c r="C760" s="1815"/>
      <c r="D760" s="1818"/>
      <c r="E760" s="1352"/>
      <c r="F760" s="1353">
        <f>SUM(G760:J760)</f>
        <v>0</v>
      </c>
      <c r="G760" s="1353"/>
      <c r="H760" s="1353"/>
      <c r="I760" s="1353"/>
      <c r="J760" s="1354"/>
      <c r="K760" s="416"/>
    </row>
    <row r="761" spans="1:226" s="418" customFormat="1" ht="24.95" customHeight="1">
      <c r="A761" s="1809"/>
      <c r="B761" s="1827"/>
      <c r="C761" s="1815"/>
      <c r="D761" s="1818"/>
      <c r="E761" s="1355" t="s">
        <v>324</v>
      </c>
      <c r="F761" s="1347">
        <f>SUM(F762:F767)</f>
        <v>12112839</v>
      </c>
      <c r="G761" s="1347">
        <f>SUM(G762:G767)</f>
        <v>1120000</v>
      </c>
      <c r="H761" s="1347">
        <f>SUM(H762:H767)</f>
        <v>9343913</v>
      </c>
      <c r="I761" s="1347">
        <f>SUM(I762:I767)</f>
        <v>1648926</v>
      </c>
      <c r="J761" s="1348">
        <f>SUM(J762:J767)</f>
        <v>0</v>
      </c>
      <c r="K761" s="416"/>
    </row>
    <row r="762" spans="1:226" s="416" customFormat="1" ht="15" customHeight="1">
      <c r="A762" s="1809"/>
      <c r="B762" s="1827"/>
      <c r="C762" s="1815"/>
      <c r="D762" s="1818"/>
      <c r="E762" s="1352" t="s">
        <v>405</v>
      </c>
      <c r="F762" s="1353">
        <f t="shared" ref="F762:F767" si="73">SUM(G762:J762)</f>
        <v>1120000</v>
      </c>
      <c r="G762" s="1353">
        <v>1120000</v>
      </c>
      <c r="H762" s="1353"/>
      <c r="I762" s="1353"/>
      <c r="J762" s="1354"/>
    </row>
    <row r="763" spans="1:226" s="418" customFormat="1" ht="15" customHeight="1">
      <c r="A763" s="1809"/>
      <c r="B763" s="1827"/>
      <c r="C763" s="1815"/>
      <c r="D763" s="1818"/>
      <c r="E763" s="1352" t="s">
        <v>406</v>
      </c>
      <c r="F763" s="1353">
        <f t="shared" si="73"/>
        <v>9343913</v>
      </c>
      <c r="G763" s="1353"/>
      <c r="H763" s="1353">
        <v>9343913</v>
      </c>
      <c r="I763" s="1353"/>
      <c r="J763" s="1354"/>
      <c r="K763" s="416"/>
      <c r="L763" s="416"/>
      <c r="M763" s="416"/>
      <c r="N763" s="416"/>
      <c r="O763" s="416"/>
      <c r="P763" s="416"/>
      <c r="Q763" s="416"/>
      <c r="R763" s="416"/>
      <c r="S763" s="416"/>
      <c r="T763" s="416"/>
      <c r="U763" s="416"/>
      <c r="V763" s="416"/>
      <c r="W763" s="416"/>
      <c r="X763" s="416"/>
      <c r="Y763" s="416"/>
      <c r="Z763" s="416"/>
      <c r="AA763" s="416"/>
      <c r="AB763" s="416"/>
      <c r="AC763" s="416"/>
      <c r="AD763" s="416"/>
      <c r="AE763" s="416"/>
      <c r="AF763" s="416"/>
      <c r="AG763" s="416"/>
      <c r="AH763" s="416"/>
      <c r="AI763" s="416"/>
      <c r="AJ763" s="416"/>
      <c r="AK763" s="416"/>
      <c r="AL763" s="416"/>
      <c r="AM763" s="416"/>
      <c r="AN763" s="416"/>
      <c r="AO763" s="416"/>
      <c r="AP763" s="416"/>
      <c r="AQ763" s="416"/>
      <c r="AR763" s="416"/>
      <c r="AS763" s="416"/>
      <c r="AT763" s="416"/>
      <c r="AU763" s="416"/>
      <c r="AV763" s="416"/>
      <c r="AW763" s="416"/>
      <c r="AX763" s="416"/>
      <c r="AY763" s="416"/>
      <c r="AZ763" s="416"/>
      <c r="BA763" s="416"/>
      <c r="BB763" s="416"/>
      <c r="BC763" s="416"/>
      <c r="BD763" s="416"/>
      <c r="BE763" s="416"/>
      <c r="BF763" s="416"/>
      <c r="BG763" s="416"/>
      <c r="BH763" s="416"/>
      <c r="BI763" s="416"/>
      <c r="BJ763" s="416"/>
      <c r="BK763" s="416"/>
      <c r="BL763" s="416"/>
      <c r="BM763" s="416"/>
      <c r="BN763" s="416"/>
      <c r="BO763" s="416"/>
      <c r="BP763" s="416"/>
      <c r="BQ763" s="416"/>
      <c r="BR763" s="416"/>
      <c r="BS763" s="416"/>
      <c r="BT763" s="416"/>
      <c r="BU763" s="416"/>
      <c r="BV763" s="416"/>
      <c r="BW763" s="416"/>
      <c r="BX763" s="416"/>
      <c r="BY763" s="416"/>
      <c r="BZ763" s="416"/>
      <c r="CA763" s="416"/>
      <c r="CB763" s="416"/>
      <c r="CC763" s="416"/>
      <c r="CD763" s="416"/>
      <c r="CE763" s="416"/>
      <c r="CF763" s="416"/>
      <c r="CG763" s="416"/>
      <c r="CH763" s="416"/>
      <c r="CI763" s="416"/>
      <c r="CJ763" s="416"/>
      <c r="CK763" s="416"/>
      <c r="CL763" s="416"/>
      <c r="CM763" s="416"/>
      <c r="CN763" s="416"/>
      <c r="CO763" s="416"/>
      <c r="CP763" s="416"/>
      <c r="CQ763" s="416"/>
      <c r="CR763" s="416"/>
      <c r="CS763" s="416"/>
      <c r="CT763" s="416"/>
      <c r="CU763" s="416"/>
      <c r="CV763" s="416"/>
      <c r="CW763" s="416"/>
      <c r="CX763" s="416"/>
      <c r="CY763" s="416"/>
      <c r="CZ763" s="416"/>
      <c r="DA763" s="416"/>
      <c r="DB763" s="416"/>
      <c r="DC763" s="416"/>
      <c r="DD763" s="416"/>
      <c r="DE763" s="416"/>
      <c r="DF763" s="416"/>
      <c r="DG763" s="416"/>
      <c r="DH763" s="416"/>
      <c r="DI763" s="416"/>
      <c r="DJ763" s="416"/>
      <c r="DK763" s="416"/>
      <c r="DL763" s="416"/>
      <c r="DM763" s="416"/>
      <c r="DN763" s="416"/>
      <c r="DO763" s="416"/>
      <c r="DP763" s="416"/>
      <c r="DQ763" s="416"/>
      <c r="DR763" s="416"/>
      <c r="DS763" s="416"/>
      <c r="DT763" s="416"/>
      <c r="DU763" s="416"/>
      <c r="DV763" s="416"/>
      <c r="DW763" s="416"/>
      <c r="DX763" s="416"/>
      <c r="DY763" s="416"/>
      <c r="DZ763" s="416"/>
      <c r="EA763" s="416"/>
      <c r="EB763" s="416"/>
      <c r="EC763" s="416"/>
      <c r="ED763" s="416"/>
      <c r="EE763" s="416"/>
      <c r="EF763" s="416"/>
      <c r="EG763" s="416"/>
      <c r="EH763" s="416"/>
      <c r="EI763" s="416"/>
      <c r="EJ763" s="416"/>
      <c r="EK763" s="416"/>
      <c r="EL763" s="416"/>
      <c r="EM763" s="416"/>
      <c r="EN763" s="416"/>
      <c r="EO763" s="416"/>
      <c r="EP763" s="416"/>
      <c r="EQ763" s="416"/>
      <c r="ER763" s="416"/>
      <c r="ES763" s="416"/>
      <c r="ET763" s="416"/>
      <c r="EU763" s="416"/>
      <c r="EV763" s="416"/>
      <c r="EW763" s="416"/>
      <c r="EX763" s="416"/>
      <c r="EY763" s="416"/>
      <c r="EZ763" s="416"/>
      <c r="FA763" s="416"/>
      <c r="FB763" s="416"/>
      <c r="FC763" s="416"/>
      <c r="FD763" s="416"/>
      <c r="FE763" s="416"/>
      <c r="FF763" s="416"/>
      <c r="FG763" s="416"/>
      <c r="FH763" s="416"/>
      <c r="FI763" s="416"/>
      <c r="FJ763" s="416"/>
      <c r="FK763" s="416"/>
      <c r="FL763" s="416"/>
      <c r="FM763" s="416"/>
      <c r="FN763" s="416"/>
      <c r="FO763" s="416"/>
      <c r="FP763" s="416"/>
      <c r="FQ763" s="416"/>
      <c r="FR763" s="416"/>
      <c r="FS763" s="416"/>
      <c r="FT763" s="416"/>
      <c r="FU763" s="416"/>
      <c r="FV763" s="416"/>
      <c r="FW763" s="416"/>
      <c r="FX763" s="416"/>
      <c r="FY763" s="416"/>
      <c r="FZ763" s="416"/>
      <c r="GA763" s="416"/>
      <c r="GB763" s="416"/>
      <c r="GC763" s="416"/>
      <c r="GD763" s="416"/>
      <c r="GE763" s="416"/>
      <c r="GF763" s="416"/>
      <c r="GG763" s="416"/>
      <c r="GH763" s="416"/>
      <c r="GI763" s="416"/>
      <c r="GJ763" s="416"/>
      <c r="GK763" s="416"/>
      <c r="GL763" s="416"/>
      <c r="GM763" s="416"/>
      <c r="GN763" s="416"/>
      <c r="GO763" s="416"/>
      <c r="GP763" s="416"/>
      <c r="GQ763" s="416"/>
      <c r="GR763" s="416"/>
      <c r="GS763" s="416"/>
      <c r="GT763" s="416"/>
      <c r="GU763" s="416"/>
      <c r="GV763" s="416"/>
      <c r="GW763" s="416"/>
      <c r="GX763" s="416"/>
      <c r="GY763" s="416"/>
      <c r="GZ763" s="416"/>
      <c r="HA763" s="416"/>
      <c r="HB763" s="416"/>
      <c r="HC763" s="416"/>
      <c r="HD763" s="416"/>
      <c r="HE763" s="416"/>
      <c r="HF763" s="416"/>
      <c r="HG763" s="416"/>
      <c r="HH763" s="416"/>
      <c r="HI763" s="416"/>
      <c r="HJ763" s="416"/>
      <c r="HK763" s="416"/>
      <c r="HL763" s="416"/>
      <c r="HM763" s="416"/>
      <c r="HN763" s="416"/>
      <c r="HO763" s="416"/>
      <c r="HP763" s="416"/>
      <c r="HQ763" s="416"/>
      <c r="HR763" s="416"/>
    </row>
    <row r="764" spans="1:226" s="418" customFormat="1" ht="15" customHeight="1">
      <c r="A764" s="1809"/>
      <c r="B764" s="1827"/>
      <c r="C764" s="1815"/>
      <c r="D764" s="1818"/>
      <c r="E764" s="1358">
        <v>6059</v>
      </c>
      <c r="F764" s="1359">
        <f t="shared" si="73"/>
        <v>1648926</v>
      </c>
      <c r="G764" s="1359"/>
      <c r="H764" s="1359"/>
      <c r="I764" s="1359">
        <v>1648926</v>
      </c>
      <c r="J764" s="1360"/>
      <c r="K764" s="416"/>
    </row>
    <row r="765" spans="1:226" s="418" customFormat="1" ht="15" hidden="1" customHeight="1">
      <c r="A765" s="1809"/>
      <c r="B765" s="1827"/>
      <c r="C765" s="1815"/>
      <c r="D765" s="1818"/>
      <c r="E765" s="1358">
        <v>6060</v>
      </c>
      <c r="F765" s="1359">
        <f t="shared" si="73"/>
        <v>0</v>
      </c>
      <c r="G765" s="1359"/>
      <c r="H765" s="1359"/>
      <c r="I765" s="1359"/>
      <c r="J765" s="1360"/>
      <c r="K765" s="416"/>
    </row>
    <row r="766" spans="1:226" s="418" customFormat="1" ht="15" hidden="1" customHeight="1">
      <c r="A766" s="1809"/>
      <c r="B766" s="1827"/>
      <c r="C766" s="1815"/>
      <c r="D766" s="1818"/>
      <c r="E766" s="1384" t="s">
        <v>397</v>
      </c>
      <c r="F766" s="1359">
        <f t="shared" si="73"/>
        <v>0</v>
      </c>
      <c r="G766" s="1359"/>
      <c r="H766" s="1359"/>
      <c r="I766" s="1359"/>
      <c r="J766" s="1360"/>
      <c r="K766" s="416"/>
    </row>
    <row r="767" spans="1:226" s="418" customFormat="1" ht="15" hidden="1" customHeight="1">
      <c r="A767" s="1810"/>
      <c r="B767" s="1828"/>
      <c r="C767" s="1816"/>
      <c r="D767" s="1819"/>
      <c r="E767" s="1356">
        <v>6069</v>
      </c>
      <c r="F767" s="1357">
        <f t="shared" si="73"/>
        <v>0</v>
      </c>
      <c r="G767" s="1357"/>
      <c r="H767" s="1357"/>
      <c r="I767" s="1357"/>
      <c r="J767" s="1373"/>
      <c r="K767" s="416"/>
    </row>
    <row r="768" spans="1:226" s="418" customFormat="1" ht="24.95" customHeight="1">
      <c r="A768" s="1809" t="s">
        <v>387</v>
      </c>
      <c r="B768" s="1827" t="s">
        <v>491</v>
      </c>
      <c r="C768" s="1815">
        <v>600</v>
      </c>
      <c r="D768" s="1818" t="s">
        <v>482</v>
      </c>
      <c r="E768" s="1340" t="s">
        <v>322</v>
      </c>
      <c r="F768" s="1341">
        <f>SUM(F769,F776)</f>
        <v>27441153</v>
      </c>
      <c r="G768" s="1341">
        <f>SUM(G769,G776)</f>
        <v>4286173</v>
      </c>
      <c r="H768" s="1341">
        <f>SUM(H769,H776)</f>
        <v>23154980</v>
      </c>
      <c r="I768" s="1341">
        <f>SUM(I769,I776)</f>
        <v>0</v>
      </c>
      <c r="J768" s="1342">
        <f>SUM(J769,J776)</f>
        <v>0</v>
      </c>
      <c r="K768" s="416"/>
    </row>
    <row r="769" spans="1:226" s="418" customFormat="1" ht="24.95" customHeight="1">
      <c r="A769" s="1809"/>
      <c r="B769" s="1827"/>
      <c r="C769" s="1815"/>
      <c r="D769" s="1818"/>
      <c r="E769" s="1346" t="s">
        <v>323</v>
      </c>
      <c r="F769" s="1347">
        <f>SUM(F770,F773)</f>
        <v>0</v>
      </c>
      <c r="G769" s="1347">
        <f>SUM(G770,G773)</f>
        <v>0</v>
      </c>
      <c r="H769" s="1347">
        <f>SUM(H770,H773)</f>
        <v>0</v>
      </c>
      <c r="I769" s="1347">
        <f>SUM(I770,I773)</f>
        <v>0</v>
      </c>
      <c r="J769" s="1348">
        <f>SUM(J770,J773)</f>
        <v>0</v>
      </c>
      <c r="K769" s="416"/>
    </row>
    <row r="770" spans="1:226" s="418" customFormat="1" ht="24.95" hidden="1" customHeight="1">
      <c r="A770" s="1809"/>
      <c r="B770" s="1827"/>
      <c r="C770" s="1815"/>
      <c r="D770" s="1818"/>
      <c r="E770" s="1349" t="s">
        <v>335</v>
      </c>
      <c r="F770" s="1350">
        <f>SUM(F771:F772)</f>
        <v>0</v>
      </c>
      <c r="G770" s="1350">
        <f>SUM(G771:G772)</f>
        <v>0</v>
      </c>
      <c r="H770" s="1350">
        <f>SUM(H771:H772)</f>
        <v>0</v>
      </c>
      <c r="I770" s="1350">
        <f>SUM(I771:I772)</f>
        <v>0</v>
      </c>
      <c r="J770" s="1351">
        <f>SUM(J771:J772)</f>
        <v>0</v>
      </c>
      <c r="K770" s="416"/>
    </row>
    <row r="771" spans="1:226" s="418" customFormat="1" ht="15" hidden="1" customHeight="1">
      <c r="A771" s="1809"/>
      <c r="B771" s="1827"/>
      <c r="C771" s="1815"/>
      <c r="D771" s="1818"/>
      <c r="E771" s="1352"/>
      <c r="F771" s="1353">
        <f>SUM(G771:J771)</f>
        <v>0</v>
      </c>
      <c r="G771" s="1353"/>
      <c r="H771" s="1353"/>
      <c r="I771" s="1353"/>
      <c r="J771" s="1354"/>
      <c r="K771" s="416"/>
    </row>
    <row r="772" spans="1:226" s="418" customFormat="1" ht="15" hidden="1" customHeight="1">
      <c r="A772" s="1809"/>
      <c r="B772" s="1827"/>
      <c r="C772" s="1815"/>
      <c r="D772" s="1818"/>
      <c r="E772" s="1352"/>
      <c r="F772" s="1353">
        <f>SUM(G772:J772)</f>
        <v>0</v>
      </c>
      <c r="G772" s="1353"/>
      <c r="H772" s="1353"/>
      <c r="I772" s="1353"/>
      <c r="J772" s="1354"/>
      <c r="K772" s="416"/>
    </row>
    <row r="773" spans="1:226" s="418" customFormat="1" ht="24.95" hidden="1" customHeight="1">
      <c r="A773" s="1809"/>
      <c r="B773" s="1827"/>
      <c r="C773" s="1815"/>
      <c r="D773" s="1818"/>
      <c r="E773" s="1349" t="s">
        <v>340</v>
      </c>
      <c r="F773" s="1350">
        <f>SUM(F774:F775)</f>
        <v>0</v>
      </c>
      <c r="G773" s="1350">
        <f>SUM(G774:G775)</f>
        <v>0</v>
      </c>
      <c r="H773" s="1350">
        <f>SUM(H774:H775)</f>
        <v>0</v>
      </c>
      <c r="I773" s="1350">
        <f>SUM(I774:I775)</f>
        <v>0</v>
      </c>
      <c r="J773" s="1351">
        <f>SUM(J774:J775)</f>
        <v>0</v>
      </c>
      <c r="K773" s="416"/>
    </row>
    <row r="774" spans="1:226" s="418" customFormat="1" ht="15" hidden="1" customHeight="1">
      <c r="A774" s="1809"/>
      <c r="B774" s="1827"/>
      <c r="C774" s="1815"/>
      <c r="D774" s="1818"/>
      <c r="E774" s="1352"/>
      <c r="F774" s="1353">
        <f>SUM(G774:J774)</f>
        <v>0</v>
      </c>
      <c r="G774" s="1353"/>
      <c r="H774" s="1353"/>
      <c r="I774" s="1353"/>
      <c r="J774" s="1354"/>
      <c r="K774" s="416"/>
    </row>
    <row r="775" spans="1:226" s="418" customFormat="1" ht="15" hidden="1" customHeight="1">
      <c r="A775" s="1809"/>
      <c r="B775" s="1827"/>
      <c r="C775" s="1815"/>
      <c r="D775" s="1818"/>
      <c r="E775" s="1352"/>
      <c r="F775" s="1353">
        <f>SUM(G775:J775)</f>
        <v>0</v>
      </c>
      <c r="G775" s="1353"/>
      <c r="H775" s="1353"/>
      <c r="I775" s="1353"/>
      <c r="J775" s="1354"/>
      <c r="K775" s="416"/>
    </row>
    <row r="776" spans="1:226" s="418" customFormat="1" ht="24.95" customHeight="1">
      <c r="A776" s="1809"/>
      <c r="B776" s="1827"/>
      <c r="C776" s="1815"/>
      <c r="D776" s="1818"/>
      <c r="E776" s="1355" t="s">
        <v>324</v>
      </c>
      <c r="F776" s="1347">
        <f>SUM(F777:F782)</f>
        <v>27441153</v>
      </c>
      <c r="G776" s="1347">
        <f>SUM(G777:G782)</f>
        <v>4286173</v>
      </c>
      <c r="H776" s="1347">
        <f>SUM(H777:H782)</f>
        <v>23154980</v>
      </c>
      <c r="I776" s="1347">
        <f>SUM(I777:I782)</f>
        <v>0</v>
      </c>
      <c r="J776" s="1348">
        <f>SUM(J777:J782)</f>
        <v>0</v>
      </c>
      <c r="K776" s="416"/>
    </row>
    <row r="777" spans="1:226" s="416" customFormat="1" ht="15" customHeight="1">
      <c r="A777" s="1809"/>
      <c r="B777" s="1827"/>
      <c r="C777" s="1815"/>
      <c r="D777" s="1818"/>
      <c r="E777" s="1352" t="s">
        <v>405</v>
      </c>
      <c r="F777" s="1353">
        <f>SUM(G777:J777)</f>
        <v>200000</v>
      </c>
      <c r="G777" s="1353">
        <v>200000</v>
      </c>
      <c r="H777" s="1353"/>
      <c r="I777" s="1353"/>
      <c r="J777" s="1354"/>
    </row>
    <row r="778" spans="1:226" s="416" customFormat="1" ht="15" customHeight="1">
      <c r="A778" s="1809"/>
      <c r="B778" s="1827"/>
      <c r="C778" s="1815"/>
      <c r="D778" s="1818"/>
      <c r="E778" s="1352" t="s">
        <v>406</v>
      </c>
      <c r="F778" s="1353">
        <f t="shared" ref="F778:F781" si="74">SUM(G778:J778)</f>
        <v>20859980</v>
      </c>
      <c r="G778" s="1353"/>
      <c r="H778" s="1353">
        <v>20859980</v>
      </c>
      <c r="I778" s="1353"/>
      <c r="J778" s="1354"/>
    </row>
    <row r="779" spans="1:226" s="416" customFormat="1" ht="15" customHeight="1">
      <c r="A779" s="1809"/>
      <c r="B779" s="1827"/>
      <c r="C779" s="1815"/>
      <c r="D779" s="1818"/>
      <c r="E779" s="1352" t="s">
        <v>451</v>
      </c>
      <c r="F779" s="1353">
        <f t="shared" si="74"/>
        <v>3681173</v>
      </c>
      <c r="G779" s="1353">
        <v>3681173</v>
      </c>
      <c r="H779" s="1353"/>
      <c r="I779" s="1353"/>
      <c r="J779" s="1354"/>
    </row>
    <row r="780" spans="1:226" s="416" customFormat="1" ht="15" hidden="1" customHeight="1">
      <c r="A780" s="1809"/>
      <c r="B780" s="1827"/>
      <c r="C780" s="1815"/>
      <c r="D780" s="1818"/>
      <c r="E780" s="1352" t="s">
        <v>401</v>
      </c>
      <c r="F780" s="1353">
        <f t="shared" si="74"/>
        <v>0</v>
      </c>
      <c r="G780" s="1353"/>
      <c r="H780" s="1353"/>
      <c r="I780" s="1353"/>
      <c r="J780" s="1354"/>
    </row>
    <row r="781" spans="1:226" s="418" customFormat="1" ht="15" customHeight="1">
      <c r="A781" s="1809"/>
      <c r="B781" s="1827"/>
      <c r="C781" s="1815"/>
      <c r="D781" s="1818"/>
      <c r="E781" s="1352" t="s">
        <v>397</v>
      </c>
      <c r="F781" s="1353">
        <f t="shared" si="74"/>
        <v>2295000</v>
      </c>
      <c r="G781" s="1353"/>
      <c r="H781" s="1353">
        <v>2295000</v>
      </c>
      <c r="I781" s="1353"/>
      <c r="J781" s="1354"/>
      <c r="K781" s="416"/>
      <c r="L781" s="416"/>
      <c r="M781" s="416"/>
      <c r="N781" s="416"/>
      <c r="O781" s="416"/>
      <c r="P781" s="416"/>
      <c r="Q781" s="416"/>
      <c r="R781" s="416"/>
      <c r="S781" s="416"/>
      <c r="T781" s="416"/>
      <c r="U781" s="416"/>
      <c r="V781" s="416"/>
      <c r="W781" s="416"/>
      <c r="X781" s="416"/>
      <c r="Y781" s="416"/>
      <c r="Z781" s="416"/>
      <c r="AA781" s="416"/>
      <c r="AB781" s="416"/>
      <c r="AC781" s="416"/>
      <c r="AD781" s="416"/>
      <c r="AE781" s="416"/>
      <c r="AF781" s="416"/>
      <c r="AG781" s="416"/>
      <c r="AH781" s="416"/>
      <c r="AI781" s="416"/>
      <c r="AJ781" s="416"/>
      <c r="AK781" s="416"/>
      <c r="AL781" s="416"/>
      <c r="AM781" s="416"/>
      <c r="AN781" s="416"/>
      <c r="AO781" s="416"/>
      <c r="AP781" s="416"/>
      <c r="AQ781" s="416"/>
      <c r="AR781" s="416"/>
      <c r="AS781" s="416"/>
      <c r="AT781" s="416"/>
      <c r="AU781" s="416"/>
      <c r="AV781" s="416"/>
      <c r="AW781" s="416"/>
      <c r="AX781" s="416"/>
      <c r="AY781" s="416"/>
      <c r="AZ781" s="416"/>
      <c r="BA781" s="416"/>
      <c r="BB781" s="416"/>
      <c r="BC781" s="416"/>
      <c r="BD781" s="416"/>
      <c r="BE781" s="416"/>
      <c r="BF781" s="416"/>
      <c r="BG781" s="416"/>
      <c r="BH781" s="416"/>
      <c r="BI781" s="416"/>
      <c r="BJ781" s="416"/>
      <c r="BK781" s="416"/>
      <c r="BL781" s="416"/>
      <c r="BM781" s="416"/>
      <c r="BN781" s="416"/>
      <c r="BO781" s="416"/>
      <c r="BP781" s="416"/>
      <c r="BQ781" s="416"/>
      <c r="BR781" s="416"/>
      <c r="BS781" s="416"/>
      <c r="BT781" s="416"/>
      <c r="BU781" s="416"/>
      <c r="BV781" s="416"/>
      <c r="BW781" s="416"/>
      <c r="BX781" s="416"/>
      <c r="BY781" s="416"/>
      <c r="BZ781" s="416"/>
      <c r="CA781" s="416"/>
      <c r="CB781" s="416"/>
      <c r="CC781" s="416"/>
      <c r="CD781" s="416"/>
      <c r="CE781" s="416"/>
      <c r="CF781" s="416"/>
      <c r="CG781" s="416"/>
      <c r="CH781" s="416"/>
      <c r="CI781" s="416"/>
      <c r="CJ781" s="416"/>
      <c r="CK781" s="416"/>
      <c r="CL781" s="416"/>
      <c r="CM781" s="416"/>
      <c r="CN781" s="416"/>
      <c r="CO781" s="416"/>
      <c r="CP781" s="416"/>
      <c r="CQ781" s="416"/>
      <c r="CR781" s="416"/>
      <c r="CS781" s="416"/>
      <c r="CT781" s="416"/>
      <c r="CU781" s="416"/>
      <c r="CV781" s="416"/>
      <c r="CW781" s="416"/>
      <c r="CX781" s="416"/>
      <c r="CY781" s="416"/>
      <c r="CZ781" s="416"/>
      <c r="DA781" s="416"/>
      <c r="DB781" s="416"/>
      <c r="DC781" s="416"/>
      <c r="DD781" s="416"/>
      <c r="DE781" s="416"/>
      <c r="DF781" s="416"/>
      <c r="DG781" s="416"/>
      <c r="DH781" s="416"/>
      <c r="DI781" s="416"/>
      <c r="DJ781" s="416"/>
      <c r="DK781" s="416"/>
      <c r="DL781" s="416"/>
      <c r="DM781" s="416"/>
      <c r="DN781" s="416"/>
      <c r="DO781" s="416"/>
      <c r="DP781" s="416"/>
      <c r="DQ781" s="416"/>
      <c r="DR781" s="416"/>
      <c r="DS781" s="416"/>
      <c r="DT781" s="416"/>
      <c r="DU781" s="416"/>
      <c r="DV781" s="416"/>
      <c r="DW781" s="416"/>
      <c r="DX781" s="416"/>
      <c r="DY781" s="416"/>
      <c r="DZ781" s="416"/>
      <c r="EA781" s="416"/>
      <c r="EB781" s="416"/>
      <c r="EC781" s="416"/>
      <c r="ED781" s="416"/>
      <c r="EE781" s="416"/>
      <c r="EF781" s="416"/>
      <c r="EG781" s="416"/>
      <c r="EH781" s="416"/>
      <c r="EI781" s="416"/>
      <c r="EJ781" s="416"/>
      <c r="EK781" s="416"/>
      <c r="EL781" s="416"/>
      <c r="EM781" s="416"/>
      <c r="EN781" s="416"/>
      <c r="EO781" s="416"/>
      <c r="EP781" s="416"/>
      <c r="EQ781" s="416"/>
      <c r="ER781" s="416"/>
      <c r="ES781" s="416"/>
      <c r="ET781" s="416"/>
      <c r="EU781" s="416"/>
      <c r="EV781" s="416"/>
      <c r="EW781" s="416"/>
      <c r="EX781" s="416"/>
      <c r="EY781" s="416"/>
      <c r="EZ781" s="416"/>
      <c r="FA781" s="416"/>
      <c r="FB781" s="416"/>
      <c r="FC781" s="416"/>
      <c r="FD781" s="416"/>
      <c r="FE781" s="416"/>
      <c r="FF781" s="416"/>
      <c r="FG781" s="416"/>
      <c r="FH781" s="416"/>
      <c r="FI781" s="416"/>
      <c r="FJ781" s="416"/>
      <c r="FK781" s="416"/>
      <c r="FL781" s="416"/>
      <c r="FM781" s="416"/>
      <c r="FN781" s="416"/>
      <c r="FO781" s="416"/>
      <c r="FP781" s="416"/>
      <c r="FQ781" s="416"/>
      <c r="FR781" s="416"/>
      <c r="FS781" s="416"/>
      <c r="FT781" s="416"/>
      <c r="FU781" s="416"/>
      <c r="FV781" s="416"/>
      <c r="FW781" s="416"/>
      <c r="FX781" s="416"/>
      <c r="FY781" s="416"/>
      <c r="FZ781" s="416"/>
      <c r="GA781" s="416"/>
      <c r="GB781" s="416"/>
      <c r="GC781" s="416"/>
      <c r="GD781" s="416"/>
      <c r="GE781" s="416"/>
      <c r="GF781" s="416"/>
      <c r="GG781" s="416"/>
      <c r="GH781" s="416"/>
      <c r="GI781" s="416"/>
      <c r="GJ781" s="416"/>
      <c r="GK781" s="416"/>
      <c r="GL781" s="416"/>
      <c r="GM781" s="416"/>
      <c r="GN781" s="416"/>
      <c r="GO781" s="416"/>
      <c r="GP781" s="416"/>
      <c r="GQ781" s="416"/>
      <c r="GR781" s="416"/>
      <c r="GS781" s="416"/>
      <c r="GT781" s="416"/>
      <c r="GU781" s="416"/>
      <c r="GV781" s="416"/>
      <c r="GW781" s="416"/>
      <c r="GX781" s="416"/>
      <c r="GY781" s="416"/>
      <c r="GZ781" s="416"/>
      <c r="HA781" s="416"/>
      <c r="HB781" s="416"/>
      <c r="HC781" s="416"/>
      <c r="HD781" s="416"/>
      <c r="HE781" s="416"/>
      <c r="HF781" s="416"/>
      <c r="HG781" s="416"/>
      <c r="HH781" s="416"/>
      <c r="HI781" s="416"/>
      <c r="HJ781" s="416"/>
      <c r="HK781" s="416"/>
      <c r="HL781" s="416"/>
      <c r="HM781" s="416"/>
      <c r="HN781" s="416"/>
      <c r="HO781" s="416"/>
      <c r="HP781" s="416"/>
      <c r="HQ781" s="416"/>
      <c r="HR781" s="416"/>
    </row>
    <row r="782" spans="1:226" s="418" customFormat="1" ht="15" customHeight="1" thickBot="1">
      <c r="A782" s="1809"/>
      <c r="B782" s="1827"/>
      <c r="C782" s="1815"/>
      <c r="D782" s="1818"/>
      <c r="E782" s="1358">
        <v>6069</v>
      </c>
      <c r="F782" s="1359">
        <f>SUM(G782:J782)</f>
        <v>405000</v>
      </c>
      <c r="G782" s="1359">
        <v>405000</v>
      </c>
      <c r="H782" s="1359"/>
      <c r="I782" s="1359"/>
      <c r="J782" s="1360"/>
      <c r="K782" s="416"/>
    </row>
    <row r="783" spans="1:226" s="418" customFormat="1" ht="24.95" customHeight="1">
      <c r="A783" s="1782" t="s">
        <v>399</v>
      </c>
      <c r="B783" s="1833" t="s">
        <v>492</v>
      </c>
      <c r="C783" s="1822">
        <v>600</v>
      </c>
      <c r="D783" s="1824" t="s">
        <v>482</v>
      </c>
      <c r="E783" s="1361" t="s">
        <v>322</v>
      </c>
      <c r="F783" s="1362">
        <f>SUM(F784,F791)</f>
        <v>4800000</v>
      </c>
      <c r="G783" s="1362">
        <f>SUM(G784,G791)</f>
        <v>720000</v>
      </c>
      <c r="H783" s="1362">
        <f>SUM(H784,H791)</f>
        <v>4080000</v>
      </c>
      <c r="I783" s="1362">
        <f>SUM(I784,I791)</f>
        <v>0</v>
      </c>
      <c r="J783" s="1363">
        <f>SUM(J784,J791)</f>
        <v>0</v>
      </c>
      <c r="K783" s="416"/>
    </row>
    <row r="784" spans="1:226" s="418" customFormat="1" ht="24.95" customHeight="1">
      <c r="A784" s="1772"/>
      <c r="B784" s="1774"/>
      <c r="C784" s="1804"/>
      <c r="D784" s="1806"/>
      <c r="E784" s="1346" t="s">
        <v>323</v>
      </c>
      <c r="F784" s="1347">
        <f>SUM(F785,F788)</f>
        <v>0</v>
      </c>
      <c r="G784" s="1347">
        <f>SUM(G785,G788)</f>
        <v>0</v>
      </c>
      <c r="H784" s="1347">
        <f>SUM(H785,H788)</f>
        <v>0</v>
      </c>
      <c r="I784" s="1347">
        <f>SUM(I785,I788)</f>
        <v>0</v>
      </c>
      <c r="J784" s="1348">
        <f>SUM(J785,J788)</f>
        <v>0</v>
      </c>
      <c r="K784" s="416"/>
    </row>
    <row r="785" spans="1:226" s="418" customFormat="1" ht="24.95" hidden="1" customHeight="1">
      <c r="A785" s="1772"/>
      <c r="B785" s="1774"/>
      <c r="C785" s="1804"/>
      <c r="D785" s="1806"/>
      <c r="E785" s="1349" t="s">
        <v>335</v>
      </c>
      <c r="F785" s="1350">
        <f>SUM(F786:F787)</f>
        <v>0</v>
      </c>
      <c r="G785" s="1350">
        <f>SUM(G786:G787)</f>
        <v>0</v>
      </c>
      <c r="H785" s="1350">
        <f>SUM(H786:H787)</f>
        <v>0</v>
      </c>
      <c r="I785" s="1350">
        <f>SUM(I786:I787)</f>
        <v>0</v>
      </c>
      <c r="J785" s="1351">
        <f>SUM(J786:J787)</f>
        <v>0</v>
      </c>
      <c r="K785" s="416"/>
    </row>
    <row r="786" spans="1:226" s="418" customFormat="1" ht="15" hidden="1" customHeight="1">
      <c r="A786" s="1772"/>
      <c r="B786" s="1774"/>
      <c r="C786" s="1804"/>
      <c r="D786" s="1806"/>
      <c r="E786" s="1352"/>
      <c r="F786" s="1353">
        <f>SUM(G786:J786)</f>
        <v>0</v>
      </c>
      <c r="G786" s="1353"/>
      <c r="H786" s="1353"/>
      <c r="I786" s="1353"/>
      <c r="J786" s="1354"/>
      <c r="K786" s="416"/>
    </row>
    <row r="787" spans="1:226" s="418" customFormat="1" ht="15" hidden="1" customHeight="1">
      <c r="A787" s="1772"/>
      <c r="B787" s="1774"/>
      <c r="C787" s="1804"/>
      <c r="D787" s="1806"/>
      <c r="E787" s="1352"/>
      <c r="F787" s="1353">
        <f>SUM(G787:J787)</f>
        <v>0</v>
      </c>
      <c r="G787" s="1353"/>
      <c r="H787" s="1353"/>
      <c r="I787" s="1353"/>
      <c r="J787" s="1354"/>
      <c r="K787" s="416"/>
      <c r="L787" s="416"/>
      <c r="M787" s="416"/>
      <c r="N787" s="416"/>
      <c r="O787" s="416"/>
      <c r="P787" s="416"/>
      <c r="Q787" s="416"/>
      <c r="R787" s="416"/>
      <c r="S787" s="416"/>
      <c r="T787" s="416"/>
      <c r="U787" s="416"/>
      <c r="V787" s="416"/>
      <c r="W787" s="416"/>
      <c r="X787" s="416"/>
      <c r="Y787" s="416"/>
      <c r="Z787" s="416"/>
      <c r="AA787" s="416"/>
      <c r="AB787" s="416"/>
      <c r="AC787" s="416"/>
      <c r="AD787" s="416"/>
      <c r="AE787" s="416"/>
      <c r="AF787" s="416"/>
      <c r="AG787" s="416"/>
      <c r="AH787" s="416"/>
      <c r="AI787" s="416"/>
      <c r="AJ787" s="416"/>
      <c r="AK787" s="416"/>
      <c r="AL787" s="416"/>
      <c r="AM787" s="416"/>
      <c r="AN787" s="416"/>
      <c r="AO787" s="416"/>
      <c r="AP787" s="416"/>
      <c r="AQ787" s="416"/>
      <c r="AR787" s="416"/>
      <c r="AS787" s="416"/>
      <c r="AT787" s="416"/>
      <c r="AU787" s="416"/>
      <c r="AV787" s="416"/>
      <c r="AW787" s="416"/>
      <c r="AX787" s="416"/>
      <c r="AY787" s="416"/>
      <c r="AZ787" s="416"/>
      <c r="BA787" s="416"/>
      <c r="BB787" s="416"/>
      <c r="BC787" s="416"/>
      <c r="BD787" s="416"/>
      <c r="BE787" s="416"/>
      <c r="BF787" s="416"/>
      <c r="BG787" s="416"/>
      <c r="BH787" s="416"/>
      <c r="BI787" s="416"/>
      <c r="BJ787" s="416"/>
      <c r="BK787" s="416"/>
      <c r="BL787" s="416"/>
      <c r="BM787" s="416"/>
      <c r="BN787" s="416"/>
      <c r="BO787" s="416"/>
      <c r="BP787" s="416"/>
      <c r="BQ787" s="416"/>
      <c r="BR787" s="416"/>
      <c r="BS787" s="416"/>
      <c r="BT787" s="416"/>
      <c r="BU787" s="416"/>
      <c r="BV787" s="416"/>
      <c r="BW787" s="416"/>
      <c r="BX787" s="416"/>
      <c r="BY787" s="416"/>
      <c r="BZ787" s="416"/>
      <c r="CA787" s="416"/>
      <c r="CB787" s="416"/>
      <c r="CC787" s="416"/>
      <c r="CD787" s="416"/>
      <c r="CE787" s="416"/>
      <c r="CF787" s="416"/>
      <c r="CG787" s="416"/>
      <c r="CH787" s="416"/>
      <c r="CI787" s="416"/>
      <c r="CJ787" s="416"/>
      <c r="CK787" s="416"/>
      <c r="CL787" s="416"/>
      <c r="CM787" s="416"/>
      <c r="CN787" s="416"/>
      <c r="CO787" s="416"/>
      <c r="CP787" s="416"/>
      <c r="CQ787" s="416"/>
      <c r="CR787" s="416"/>
      <c r="CS787" s="416"/>
      <c r="CT787" s="416"/>
      <c r="CU787" s="416"/>
      <c r="CV787" s="416"/>
      <c r="CW787" s="416"/>
      <c r="CX787" s="416"/>
      <c r="CY787" s="416"/>
      <c r="CZ787" s="416"/>
      <c r="DA787" s="416"/>
      <c r="DB787" s="416"/>
      <c r="DC787" s="416"/>
      <c r="DD787" s="416"/>
      <c r="DE787" s="416"/>
      <c r="DF787" s="416"/>
      <c r="DG787" s="416"/>
      <c r="DH787" s="416"/>
      <c r="DI787" s="416"/>
      <c r="DJ787" s="416"/>
      <c r="DK787" s="416"/>
      <c r="DL787" s="416"/>
      <c r="DM787" s="416"/>
      <c r="DN787" s="416"/>
      <c r="DO787" s="416"/>
      <c r="DP787" s="416"/>
      <c r="DQ787" s="416"/>
      <c r="DR787" s="416"/>
      <c r="DS787" s="416"/>
      <c r="DT787" s="416"/>
      <c r="DU787" s="416"/>
      <c r="DV787" s="416"/>
      <c r="DW787" s="416"/>
      <c r="DX787" s="416"/>
      <c r="DY787" s="416"/>
      <c r="DZ787" s="416"/>
      <c r="EA787" s="416"/>
      <c r="EB787" s="416"/>
      <c r="EC787" s="416"/>
      <c r="ED787" s="416"/>
      <c r="EE787" s="416"/>
      <c r="EF787" s="416"/>
      <c r="EG787" s="416"/>
      <c r="EH787" s="416"/>
      <c r="EI787" s="416"/>
      <c r="EJ787" s="416"/>
      <c r="EK787" s="416"/>
      <c r="EL787" s="416"/>
      <c r="EM787" s="416"/>
      <c r="EN787" s="416"/>
      <c r="EO787" s="416"/>
      <c r="EP787" s="416"/>
      <c r="EQ787" s="416"/>
      <c r="ER787" s="416"/>
      <c r="ES787" s="416"/>
      <c r="ET787" s="416"/>
      <c r="EU787" s="416"/>
      <c r="EV787" s="416"/>
      <c r="EW787" s="416"/>
      <c r="EX787" s="416"/>
      <c r="EY787" s="416"/>
      <c r="EZ787" s="416"/>
      <c r="FA787" s="416"/>
      <c r="FB787" s="416"/>
      <c r="FC787" s="416"/>
      <c r="FD787" s="416"/>
      <c r="FE787" s="416"/>
      <c r="FF787" s="416"/>
      <c r="FG787" s="416"/>
      <c r="FH787" s="416"/>
      <c r="FI787" s="416"/>
      <c r="FJ787" s="416"/>
      <c r="FK787" s="416"/>
      <c r="FL787" s="416"/>
      <c r="FM787" s="416"/>
      <c r="FN787" s="416"/>
      <c r="FO787" s="416"/>
      <c r="FP787" s="416"/>
      <c r="FQ787" s="416"/>
      <c r="FR787" s="416"/>
      <c r="FS787" s="416"/>
      <c r="FT787" s="416"/>
      <c r="FU787" s="416"/>
      <c r="FV787" s="416"/>
      <c r="FW787" s="416"/>
      <c r="FX787" s="416"/>
      <c r="FY787" s="416"/>
      <c r="FZ787" s="416"/>
      <c r="GA787" s="416"/>
      <c r="GB787" s="416"/>
      <c r="GC787" s="416"/>
      <c r="GD787" s="416"/>
      <c r="GE787" s="416"/>
      <c r="GF787" s="416"/>
      <c r="GG787" s="416"/>
      <c r="GH787" s="416"/>
      <c r="GI787" s="416"/>
      <c r="GJ787" s="416"/>
      <c r="GK787" s="416"/>
      <c r="GL787" s="416"/>
      <c r="GM787" s="416"/>
      <c r="GN787" s="416"/>
      <c r="GO787" s="416"/>
      <c r="GP787" s="416"/>
      <c r="GQ787" s="416"/>
      <c r="GR787" s="416"/>
      <c r="GS787" s="416"/>
      <c r="GT787" s="416"/>
      <c r="GU787" s="416"/>
      <c r="GV787" s="416"/>
      <c r="GW787" s="416"/>
      <c r="GX787" s="416"/>
      <c r="GY787" s="416"/>
      <c r="GZ787" s="416"/>
      <c r="HA787" s="416"/>
      <c r="HB787" s="416"/>
      <c r="HC787" s="416"/>
      <c r="HD787" s="416"/>
      <c r="HE787" s="416"/>
      <c r="HF787" s="416"/>
      <c r="HG787" s="416"/>
      <c r="HH787" s="416"/>
      <c r="HI787" s="416"/>
      <c r="HJ787" s="416"/>
      <c r="HK787" s="416"/>
      <c r="HL787" s="416"/>
      <c r="HM787" s="416"/>
      <c r="HN787" s="416"/>
      <c r="HO787" s="416"/>
      <c r="HP787" s="416"/>
      <c r="HQ787" s="416"/>
      <c r="HR787" s="416"/>
    </row>
    <row r="788" spans="1:226" s="418" customFormat="1" ht="24.95" hidden="1" customHeight="1">
      <c r="A788" s="1772"/>
      <c r="B788" s="1774"/>
      <c r="C788" s="1804"/>
      <c r="D788" s="1806"/>
      <c r="E788" s="1349" t="s">
        <v>340</v>
      </c>
      <c r="F788" s="1350">
        <f>SUM(F789:F790)</f>
        <v>0</v>
      </c>
      <c r="G788" s="1350">
        <f>SUM(G789:G790)</f>
        <v>0</v>
      </c>
      <c r="H788" s="1350">
        <f>SUM(H789:H790)</f>
        <v>0</v>
      </c>
      <c r="I788" s="1350">
        <f>SUM(I789:I790)</f>
        <v>0</v>
      </c>
      <c r="J788" s="1351">
        <f>SUM(J789:J790)</f>
        <v>0</v>
      </c>
      <c r="K788" s="416"/>
    </row>
    <row r="789" spans="1:226" s="418" customFormat="1" ht="15" hidden="1" customHeight="1">
      <c r="A789" s="1772"/>
      <c r="B789" s="1774"/>
      <c r="C789" s="1804"/>
      <c r="D789" s="1806"/>
      <c r="E789" s="1352"/>
      <c r="F789" s="1353">
        <f>SUM(G789:J789)</f>
        <v>0</v>
      </c>
      <c r="G789" s="1353"/>
      <c r="H789" s="1353"/>
      <c r="I789" s="1353"/>
      <c r="J789" s="1354"/>
      <c r="K789" s="416"/>
    </row>
    <row r="790" spans="1:226" s="418" customFormat="1" ht="15" hidden="1" customHeight="1">
      <c r="A790" s="1772"/>
      <c r="B790" s="1774"/>
      <c r="C790" s="1804"/>
      <c r="D790" s="1806"/>
      <c r="E790" s="1352"/>
      <c r="F790" s="1353">
        <f>SUM(G790:J790)</f>
        <v>0</v>
      </c>
      <c r="G790" s="1353"/>
      <c r="H790" s="1353"/>
      <c r="I790" s="1353"/>
      <c r="J790" s="1354"/>
      <c r="K790" s="416"/>
    </row>
    <row r="791" spans="1:226" s="418" customFormat="1" ht="24.95" customHeight="1">
      <c r="A791" s="1772"/>
      <c r="B791" s="1774"/>
      <c r="C791" s="1804"/>
      <c r="D791" s="1806"/>
      <c r="E791" s="1355" t="s">
        <v>324</v>
      </c>
      <c r="F791" s="1347">
        <f>SUM(F792:F797)</f>
        <v>4800000</v>
      </c>
      <c r="G791" s="1347">
        <f>SUM(G792:G797)</f>
        <v>720000</v>
      </c>
      <c r="H791" s="1347">
        <f>SUM(H792:H797)</f>
        <v>4080000</v>
      </c>
      <c r="I791" s="1347">
        <f>SUM(I792:I797)</f>
        <v>0</v>
      </c>
      <c r="J791" s="1348">
        <f>SUM(J792:J797)</f>
        <v>0</v>
      </c>
      <c r="K791" s="416"/>
    </row>
    <row r="792" spans="1:226" s="418" customFormat="1" ht="15" hidden="1" customHeight="1">
      <c r="A792" s="1772"/>
      <c r="B792" s="1774"/>
      <c r="C792" s="1804"/>
      <c r="D792" s="1806"/>
      <c r="E792" s="1352" t="s">
        <v>405</v>
      </c>
      <c r="F792" s="1353">
        <f t="shared" ref="F792:F797" si="75">SUM(G792:J792)</f>
        <v>0</v>
      </c>
      <c r="G792" s="1353"/>
      <c r="H792" s="1353"/>
      <c r="I792" s="1353"/>
      <c r="J792" s="1354"/>
      <c r="K792" s="416"/>
    </row>
    <row r="793" spans="1:226" s="418" customFormat="1" ht="15" customHeight="1">
      <c r="A793" s="1773"/>
      <c r="B793" s="1775"/>
      <c r="C793" s="1805"/>
      <c r="D793" s="1807"/>
      <c r="E793" s="1384" t="s">
        <v>406</v>
      </c>
      <c r="F793" s="1353">
        <f t="shared" si="75"/>
        <v>3995000</v>
      </c>
      <c r="G793" s="1359"/>
      <c r="H793" s="1359">
        <v>3995000</v>
      </c>
      <c r="I793" s="1359"/>
      <c r="J793" s="1360"/>
      <c r="K793" s="416"/>
    </row>
    <row r="794" spans="1:226" s="418" customFormat="1" ht="15" customHeight="1">
      <c r="A794" s="1773"/>
      <c r="B794" s="1775"/>
      <c r="C794" s="1805"/>
      <c r="D794" s="1807"/>
      <c r="E794" s="1384" t="s">
        <v>451</v>
      </c>
      <c r="F794" s="1353">
        <f t="shared" si="75"/>
        <v>705000</v>
      </c>
      <c r="G794" s="1359">
        <v>705000</v>
      </c>
      <c r="H794" s="1359"/>
      <c r="I794" s="1359"/>
      <c r="J794" s="1360"/>
      <c r="K794" s="416"/>
    </row>
    <row r="795" spans="1:226" s="418" customFormat="1" ht="15" hidden="1" customHeight="1">
      <c r="A795" s="1773"/>
      <c r="B795" s="1775"/>
      <c r="C795" s="1805"/>
      <c r="D795" s="1807"/>
      <c r="E795" s="1384" t="s">
        <v>401</v>
      </c>
      <c r="F795" s="1353">
        <f t="shared" si="75"/>
        <v>0</v>
      </c>
      <c r="G795" s="1359"/>
      <c r="H795" s="1359"/>
      <c r="I795" s="1359"/>
      <c r="J795" s="1360"/>
      <c r="K795" s="416"/>
    </row>
    <row r="796" spans="1:226" s="418" customFormat="1" ht="15" customHeight="1">
      <c r="A796" s="1773"/>
      <c r="B796" s="1775"/>
      <c r="C796" s="1805"/>
      <c r="D796" s="1807"/>
      <c r="E796" s="1384" t="s">
        <v>397</v>
      </c>
      <c r="F796" s="1353">
        <f t="shared" si="75"/>
        <v>85000</v>
      </c>
      <c r="G796" s="1359"/>
      <c r="H796" s="1359">
        <v>85000</v>
      </c>
      <c r="I796" s="1359"/>
      <c r="J796" s="1360"/>
      <c r="K796" s="416"/>
    </row>
    <row r="797" spans="1:226" s="418" customFormat="1" ht="15" customHeight="1" thickBot="1">
      <c r="A797" s="1783"/>
      <c r="B797" s="1821"/>
      <c r="C797" s="1823"/>
      <c r="D797" s="1825"/>
      <c r="E797" s="1356">
        <v>6069</v>
      </c>
      <c r="F797" s="1357">
        <f t="shared" si="75"/>
        <v>15000</v>
      </c>
      <c r="G797" s="1357">
        <v>15000</v>
      </c>
      <c r="H797" s="1357"/>
      <c r="I797" s="1357"/>
      <c r="J797" s="1373"/>
      <c r="K797" s="416"/>
    </row>
    <row r="798" spans="1:226" s="418" customFormat="1" ht="24.95" customHeight="1">
      <c r="A798" s="1829" t="s">
        <v>402</v>
      </c>
      <c r="B798" s="1830" t="s">
        <v>493</v>
      </c>
      <c r="C798" s="1831">
        <v>600</v>
      </c>
      <c r="D798" s="1832" t="s">
        <v>482</v>
      </c>
      <c r="E798" s="1340" t="s">
        <v>322</v>
      </c>
      <c r="F798" s="1341">
        <f>SUM(F799,F806)</f>
        <v>7850000</v>
      </c>
      <c r="G798" s="1341">
        <f>SUM(G799,G806)</f>
        <v>1177500</v>
      </c>
      <c r="H798" s="1341">
        <f>SUM(H799,H806)</f>
        <v>6672500</v>
      </c>
      <c r="I798" s="1341">
        <f>SUM(I799,I806)</f>
        <v>0</v>
      </c>
      <c r="J798" s="1342">
        <f>SUM(J799,J806)</f>
        <v>0</v>
      </c>
      <c r="K798" s="416"/>
    </row>
    <row r="799" spans="1:226" s="418" customFormat="1" ht="24.95" customHeight="1">
      <c r="A799" s="1772"/>
      <c r="B799" s="1774"/>
      <c r="C799" s="1804"/>
      <c r="D799" s="1806"/>
      <c r="E799" s="1346" t="s">
        <v>323</v>
      </c>
      <c r="F799" s="1347">
        <f>SUM(F800,F803)</f>
        <v>0</v>
      </c>
      <c r="G799" s="1347">
        <f>SUM(G800,G803)</f>
        <v>0</v>
      </c>
      <c r="H799" s="1347">
        <f>SUM(H800,H803)</f>
        <v>0</v>
      </c>
      <c r="I799" s="1347">
        <f>SUM(I800,I803)</f>
        <v>0</v>
      </c>
      <c r="J799" s="1348">
        <f>SUM(J800,J803)</f>
        <v>0</v>
      </c>
      <c r="K799" s="416"/>
    </row>
    <row r="800" spans="1:226" s="418" customFormat="1" ht="24.95" hidden="1" customHeight="1">
      <c r="A800" s="1772"/>
      <c r="B800" s="1774"/>
      <c r="C800" s="1804"/>
      <c r="D800" s="1806"/>
      <c r="E800" s="1349" t="s">
        <v>335</v>
      </c>
      <c r="F800" s="1350">
        <f>SUM(F801:F802)</f>
        <v>0</v>
      </c>
      <c r="G800" s="1350">
        <f>SUM(G801:G802)</f>
        <v>0</v>
      </c>
      <c r="H800" s="1350">
        <f>SUM(H801:H802)</f>
        <v>0</v>
      </c>
      <c r="I800" s="1350">
        <f>SUM(I801:I802)</f>
        <v>0</v>
      </c>
      <c r="J800" s="1351">
        <f>SUM(J801:J802)</f>
        <v>0</v>
      </c>
      <c r="K800" s="416"/>
    </row>
    <row r="801" spans="1:226" s="418" customFormat="1" ht="15" hidden="1" customHeight="1">
      <c r="A801" s="1772"/>
      <c r="B801" s="1774"/>
      <c r="C801" s="1804"/>
      <c r="D801" s="1806"/>
      <c r="E801" s="1352"/>
      <c r="F801" s="1353">
        <f>SUM(G801:J801)</f>
        <v>0</v>
      </c>
      <c r="G801" s="1353"/>
      <c r="H801" s="1353"/>
      <c r="I801" s="1353"/>
      <c r="J801" s="1354"/>
      <c r="K801" s="416"/>
    </row>
    <row r="802" spans="1:226" s="418" customFormat="1" ht="15" hidden="1" customHeight="1">
      <c r="A802" s="1772"/>
      <c r="B802" s="1774"/>
      <c r="C802" s="1804"/>
      <c r="D802" s="1806"/>
      <c r="E802" s="1352"/>
      <c r="F802" s="1353">
        <f>SUM(G802:J802)</f>
        <v>0</v>
      </c>
      <c r="G802" s="1353"/>
      <c r="H802" s="1353"/>
      <c r="I802" s="1353"/>
      <c r="J802" s="1354"/>
      <c r="K802" s="416"/>
      <c r="L802" s="416"/>
      <c r="M802" s="416"/>
      <c r="N802" s="416"/>
      <c r="O802" s="416"/>
      <c r="P802" s="416"/>
      <c r="Q802" s="416"/>
      <c r="R802" s="416"/>
      <c r="S802" s="416"/>
      <c r="T802" s="416"/>
      <c r="U802" s="416"/>
      <c r="V802" s="416"/>
      <c r="W802" s="416"/>
      <c r="X802" s="416"/>
      <c r="Y802" s="416"/>
      <c r="Z802" s="416"/>
      <c r="AA802" s="416"/>
      <c r="AB802" s="416"/>
      <c r="AC802" s="416"/>
      <c r="AD802" s="416"/>
      <c r="AE802" s="416"/>
      <c r="AF802" s="416"/>
      <c r="AG802" s="416"/>
      <c r="AH802" s="416"/>
      <c r="AI802" s="416"/>
      <c r="AJ802" s="416"/>
      <c r="AK802" s="416"/>
      <c r="AL802" s="416"/>
      <c r="AM802" s="416"/>
      <c r="AN802" s="416"/>
      <c r="AO802" s="416"/>
      <c r="AP802" s="416"/>
      <c r="AQ802" s="416"/>
      <c r="AR802" s="416"/>
      <c r="AS802" s="416"/>
      <c r="AT802" s="416"/>
      <c r="AU802" s="416"/>
      <c r="AV802" s="416"/>
      <c r="AW802" s="416"/>
      <c r="AX802" s="416"/>
      <c r="AY802" s="416"/>
      <c r="AZ802" s="416"/>
      <c r="BA802" s="416"/>
      <c r="BB802" s="416"/>
      <c r="BC802" s="416"/>
      <c r="BD802" s="416"/>
      <c r="BE802" s="416"/>
      <c r="BF802" s="416"/>
      <c r="BG802" s="416"/>
      <c r="BH802" s="416"/>
      <c r="BI802" s="416"/>
      <c r="BJ802" s="416"/>
      <c r="BK802" s="416"/>
      <c r="BL802" s="416"/>
      <c r="BM802" s="416"/>
      <c r="BN802" s="416"/>
      <c r="BO802" s="416"/>
      <c r="BP802" s="416"/>
      <c r="BQ802" s="416"/>
      <c r="BR802" s="416"/>
      <c r="BS802" s="416"/>
      <c r="BT802" s="416"/>
      <c r="BU802" s="416"/>
      <c r="BV802" s="416"/>
      <c r="BW802" s="416"/>
      <c r="BX802" s="416"/>
      <c r="BY802" s="416"/>
      <c r="BZ802" s="416"/>
      <c r="CA802" s="416"/>
      <c r="CB802" s="416"/>
      <c r="CC802" s="416"/>
      <c r="CD802" s="416"/>
      <c r="CE802" s="416"/>
      <c r="CF802" s="416"/>
      <c r="CG802" s="416"/>
      <c r="CH802" s="416"/>
      <c r="CI802" s="416"/>
      <c r="CJ802" s="416"/>
      <c r="CK802" s="416"/>
      <c r="CL802" s="416"/>
      <c r="CM802" s="416"/>
      <c r="CN802" s="416"/>
      <c r="CO802" s="416"/>
      <c r="CP802" s="416"/>
      <c r="CQ802" s="416"/>
      <c r="CR802" s="416"/>
      <c r="CS802" s="416"/>
      <c r="CT802" s="416"/>
      <c r="CU802" s="416"/>
      <c r="CV802" s="416"/>
      <c r="CW802" s="416"/>
      <c r="CX802" s="416"/>
      <c r="CY802" s="416"/>
      <c r="CZ802" s="416"/>
      <c r="DA802" s="416"/>
      <c r="DB802" s="416"/>
      <c r="DC802" s="416"/>
      <c r="DD802" s="416"/>
      <c r="DE802" s="416"/>
      <c r="DF802" s="416"/>
      <c r="DG802" s="416"/>
      <c r="DH802" s="416"/>
      <c r="DI802" s="416"/>
      <c r="DJ802" s="416"/>
      <c r="DK802" s="416"/>
      <c r="DL802" s="416"/>
      <c r="DM802" s="416"/>
      <c r="DN802" s="416"/>
      <c r="DO802" s="416"/>
      <c r="DP802" s="416"/>
      <c r="DQ802" s="416"/>
      <c r="DR802" s="416"/>
      <c r="DS802" s="416"/>
      <c r="DT802" s="416"/>
      <c r="DU802" s="416"/>
      <c r="DV802" s="416"/>
      <c r="DW802" s="416"/>
      <c r="DX802" s="416"/>
      <c r="DY802" s="416"/>
      <c r="DZ802" s="416"/>
      <c r="EA802" s="416"/>
      <c r="EB802" s="416"/>
      <c r="EC802" s="416"/>
      <c r="ED802" s="416"/>
      <c r="EE802" s="416"/>
      <c r="EF802" s="416"/>
      <c r="EG802" s="416"/>
      <c r="EH802" s="416"/>
      <c r="EI802" s="416"/>
      <c r="EJ802" s="416"/>
      <c r="EK802" s="416"/>
      <c r="EL802" s="416"/>
      <c r="EM802" s="416"/>
      <c r="EN802" s="416"/>
      <c r="EO802" s="416"/>
      <c r="EP802" s="416"/>
      <c r="EQ802" s="416"/>
      <c r="ER802" s="416"/>
      <c r="ES802" s="416"/>
      <c r="ET802" s="416"/>
      <c r="EU802" s="416"/>
      <c r="EV802" s="416"/>
      <c r="EW802" s="416"/>
      <c r="EX802" s="416"/>
      <c r="EY802" s="416"/>
      <c r="EZ802" s="416"/>
      <c r="FA802" s="416"/>
      <c r="FB802" s="416"/>
      <c r="FC802" s="416"/>
      <c r="FD802" s="416"/>
      <c r="FE802" s="416"/>
      <c r="FF802" s="416"/>
      <c r="FG802" s="416"/>
      <c r="FH802" s="416"/>
      <c r="FI802" s="416"/>
      <c r="FJ802" s="416"/>
      <c r="FK802" s="416"/>
      <c r="FL802" s="416"/>
      <c r="FM802" s="416"/>
      <c r="FN802" s="416"/>
      <c r="FO802" s="416"/>
      <c r="FP802" s="416"/>
      <c r="FQ802" s="416"/>
      <c r="FR802" s="416"/>
      <c r="FS802" s="416"/>
      <c r="FT802" s="416"/>
      <c r="FU802" s="416"/>
      <c r="FV802" s="416"/>
      <c r="FW802" s="416"/>
      <c r="FX802" s="416"/>
      <c r="FY802" s="416"/>
      <c r="FZ802" s="416"/>
      <c r="GA802" s="416"/>
      <c r="GB802" s="416"/>
      <c r="GC802" s="416"/>
      <c r="GD802" s="416"/>
      <c r="GE802" s="416"/>
      <c r="GF802" s="416"/>
      <c r="GG802" s="416"/>
      <c r="GH802" s="416"/>
      <c r="GI802" s="416"/>
      <c r="GJ802" s="416"/>
      <c r="GK802" s="416"/>
      <c r="GL802" s="416"/>
      <c r="GM802" s="416"/>
      <c r="GN802" s="416"/>
      <c r="GO802" s="416"/>
      <c r="GP802" s="416"/>
      <c r="GQ802" s="416"/>
      <c r="GR802" s="416"/>
      <c r="GS802" s="416"/>
      <c r="GT802" s="416"/>
      <c r="GU802" s="416"/>
      <c r="GV802" s="416"/>
      <c r="GW802" s="416"/>
      <c r="GX802" s="416"/>
      <c r="GY802" s="416"/>
      <c r="GZ802" s="416"/>
      <c r="HA802" s="416"/>
      <c r="HB802" s="416"/>
      <c r="HC802" s="416"/>
      <c r="HD802" s="416"/>
      <c r="HE802" s="416"/>
      <c r="HF802" s="416"/>
      <c r="HG802" s="416"/>
      <c r="HH802" s="416"/>
      <c r="HI802" s="416"/>
      <c r="HJ802" s="416"/>
      <c r="HK802" s="416"/>
      <c r="HL802" s="416"/>
      <c r="HM802" s="416"/>
      <c r="HN802" s="416"/>
      <c r="HO802" s="416"/>
      <c r="HP802" s="416"/>
      <c r="HQ802" s="416"/>
      <c r="HR802" s="416"/>
    </row>
    <row r="803" spans="1:226" s="418" customFormat="1" ht="24.95" hidden="1" customHeight="1">
      <c r="A803" s="1772"/>
      <c r="B803" s="1774"/>
      <c r="C803" s="1804"/>
      <c r="D803" s="1806"/>
      <c r="E803" s="1349" t="s">
        <v>340</v>
      </c>
      <c r="F803" s="1350">
        <f>SUM(F804:F805)</f>
        <v>0</v>
      </c>
      <c r="G803" s="1350">
        <f>SUM(G804:G805)</f>
        <v>0</v>
      </c>
      <c r="H803" s="1350">
        <f>SUM(H804:H805)</f>
        <v>0</v>
      </c>
      <c r="I803" s="1350">
        <f>SUM(I804:I805)</f>
        <v>0</v>
      </c>
      <c r="J803" s="1351">
        <f>SUM(J804:J805)</f>
        <v>0</v>
      </c>
      <c r="K803" s="416"/>
    </row>
    <row r="804" spans="1:226" s="418" customFormat="1" ht="15" hidden="1" customHeight="1">
      <c r="A804" s="1772"/>
      <c r="B804" s="1774"/>
      <c r="C804" s="1804"/>
      <c r="D804" s="1806"/>
      <c r="E804" s="1352"/>
      <c r="F804" s="1353">
        <f>SUM(G804:J804)</f>
        <v>0</v>
      </c>
      <c r="G804" s="1353"/>
      <c r="H804" s="1353"/>
      <c r="I804" s="1353"/>
      <c r="J804" s="1354"/>
      <c r="K804" s="416"/>
    </row>
    <row r="805" spans="1:226" s="418" customFormat="1" ht="15" hidden="1" customHeight="1">
      <c r="A805" s="1772"/>
      <c r="B805" s="1774"/>
      <c r="C805" s="1804"/>
      <c r="D805" s="1806"/>
      <c r="E805" s="1352"/>
      <c r="F805" s="1353">
        <f>SUM(G805:J805)</f>
        <v>0</v>
      </c>
      <c r="G805" s="1353"/>
      <c r="H805" s="1353"/>
      <c r="I805" s="1353"/>
      <c r="J805" s="1354"/>
      <c r="K805" s="416"/>
    </row>
    <row r="806" spans="1:226" s="418" customFormat="1" ht="24.95" customHeight="1">
      <c r="A806" s="1772"/>
      <c r="B806" s="1774"/>
      <c r="C806" s="1804"/>
      <c r="D806" s="1806"/>
      <c r="E806" s="1355" t="s">
        <v>324</v>
      </c>
      <c r="F806" s="1347">
        <f>SUM(F807:F812)</f>
        <v>7850000</v>
      </c>
      <c r="G806" s="1347">
        <f>SUM(G807:G812)</f>
        <v>1177500</v>
      </c>
      <c r="H806" s="1347">
        <f>SUM(H807:H812)</f>
        <v>6672500</v>
      </c>
      <c r="I806" s="1347">
        <f>SUM(I807:I812)</f>
        <v>0</v>
      </c>
      <c r="J806" s="1348">
        <f>SUM(J807:J812)</f>
        <v>0</v>
      </c>
      <c r="K806" s="416"/>
    </row>
    <row r="807" spans="1:226" s="418" customFormat="1" ht="15" hidden="1" customHeight="1">
      <c r="A807" s="1772"/>
      <c r="B807" s="1774"/>
      <c r="C807" s="1804"/>
      <c r="D807" s="1806"/>
      <c r="E807" s="1352" t="s">
        <v>405</v>
      </c>
      <c r="F807" s="1353">
        <f t="shared" ref="F807:F812" si="76">SUM(G807:J807)</f>
        <v>0</v>
      </c>
      <c r="G807" s="1353"/>
      <c r="H807" s="1353"/>
      <c r="I807" s="1353"/>
      <c r="J807" s="1354"/>
      <c r="K807" s="416"/>
    </row>
    <row r="808" spans="1:226" s="418" customFormat="1" ht="15" customHeight="1">
      <c r="A808" s="1773"/>
      <c r="B808" s="1775"/>
      <c r="C808" s="1805"/>
      <c r="D808" s="1807"/>
      <c r="E808" s="1384" t="s">
        <v>406</v>
      </c>
      <c r="F808" s="1353">
        <f t="shared" si="76"/>
        <v>6587500</v>
      </c>
      <c r="G808" s="1359"/>
      <c r="H808" s="1359">
        <v>6587500</v>
      </c>
      <c r="I808" s="1359"/>
      <c r="J808" s="1360"/>
      <c r="K808" s="416"/>
    </row>
    <row r="809" spans="1:226" s="418" customFormat="1" ht="15" customHeight="1">
      <c r="A809" s="1773"/>
      <c r="B809" s="1775"/>
      <c r="C809" s="1805"/>
      <c r="D809" s="1807"/>
      <c r="E809" s="1384" t="s">
        <v>451</v>
      </c>
      <c r="F809" s="1353">
        <f t="shared" si="76"/>
        <v>1162500</v>
      </c>
      <c r="G809" s="1359">
        <v>1162500</v>
      </c>
      <c r="H809" s="1359"/>
      <c r="I809" s="1359"/>
      <c r="J809" s="1360"/>
      <c r="K809" s="416"/>
    </row>
    <row r="810" spans="1:226" s="418" customFormat="1" ht="15" hidden="1" customHeight="1">
      <c r="A810" s="1773"/>
      <c r="B810" s="1775"/>
      <c r="C810" s="1805"/>
      <c r="D810" s="1807"/>
      <c r="E810" s="1384" t="s">
        <v>401</v>
      </c>
      <c r="F810" s="1353">
        <f t="shared" si="76"/>
        <v>0</v>
      </c>
      <c r="G810" s="1359"/>
      <c r="H810" s="1359"/>
      <c r="I810" s="1359"/>
      <c r="J810" s="1360"/>
      <c r="K810" s="416"/>
    </row>
    <row r="811" spans="1:226" s="418" customFormat="1" ht="15" customHeight="1">
      <c r="A811" s="1773"/>
      <c r="B811" s="1775"/>
      <c r="C811" s="1805"/>
      <c r="D811" s="1807"/>
      <c r="E811" s="1384" t="s">
        <v>397</v>
      </c>
      <c r="F811" s="1353">
        <f t="shared" si="76"/>
        <v>85000</v>
      </c>
      <c r="G811" s="1359"/>
      <c r="H811" s="1359">
        <v>85000</v>
      </c>
      <c r="I811" s="1359"/>
      <c r="J811" s="1360"/>
      <c r="K811" s="416"/>
    </row>
    <row r="812" spans="1:226" s="418" customFormat="1" ht="15" customHeight="1" thickBot="1">
      <c r="A812" s="1773"/>
      <c r="B812" s="1775"/>
      <c r="C812" s="1805"/>
      <c r="D812" s="1807"/>
      <c r="E812" s="1358">
        <v>6069</v>
      </c>
      <c r="F812" s="1359">
        <f t="shared" si="76"/>
        <v>15000</v>
      </c>
      <c r="G812" s="1359">
        <v>15000</v>
      </c>
      <c r="H812" s="1359"/>
      <c r="I812" s="1359"/>
      <c r="J812" s="1360"/>
      <c r="K812" s="416"/>
    </row>
    <row r="813" spans="1:226" s="418" customFormat="1" ht="24.95" customHeight="1">
      <c r="A813" s="1782" t="s">
        <v>407</v>
      </c>
      <c r="B813" s="1833" t="s">
        <v>494</v>
      </c>
      <c r="C813" s="1822">
        <v>600</v>
      </c>
      <c r="D813" s="1824" t="s">
        <v>482</v>
      </c>
      <c r="E813" s="1361" t="s">
        <v>322</v>
      </c>
      <c r="F813" s="1362">
        <f>SUM(F814,F821)</f>
        <v>21855000</v>
      </c>
      <c r="G813" s="1362">
        <f>SUM(G814,G821)</f>
        <v>3278250</v>
      </c>
      <c r="H813" s="1362">
        <f>SUM(H814,H821)</f>
        <v>18576750</v>
      </c>
      <c r="I813" s="1362">
        <f>SUM(I814,I821)</f>
        <v>0</v>
      </c>
      <c r="J813" s="1363">
        <f>SUM(J814,J821)</f>
        <v>0</v>
      </c>
      <c r="K813" s="416"/>
    </row>
    <row r="814" spans="1:226" s="418" customFormat="1" ht="24.95" customHeight="1">
      <c r="A814" s="1772"/>
      <c r="B814" s="1774"/>
      <c r="C814" s="1804"/>
      <c r="D814" s="1806"/>
      <c r="E814" s="1346" t="s">
        <v>323</v>
      </c>
      <c r="F814" s="1347">
        <f>SUM(F815,F818)</f>
        <v>0</v>
      </c>
      <c r="G814" s="1347">
        <f>SUM(G815,G818)</f>
        <v>0</v>
      </c>
      <c r="H814" s="1347">
        <f>SUM(H815,H818)</f>
        <v>0</v>
      </c>
      <c r="I814" s="1347">
        <f>SUM(I815,I818)</f>
        <v>0</v>
      </c>
      <c r="J814" s="1348">
        <f>SUM(J815,J818)</f>
        <v>0</v>
      </c>
      <c r="K814" s="416"/>
    </row>
    <row r="815" spans="1:226" s="418" customFormat="1" ht="24.95" hidden="1" customHeight="1">
      <c r="A815" s="1772"/>
      <c r="B815" s="1774"/>
      <c r="C815" s="1804"/>
      <c r="D815" s="1806"/>
      <c r="E815" s="1349" t="s">
        <v>335</v>
      </c>
      <c r="F815" s="1350">
        <f>SUM(F816:F817)</f>
        <v>0</v>
      </c>
      <c r="G815" s="1350">
        <f>SUM(G816:G817)</f>
        <v>0</v>
      </c>
      <c r="H815" s="1350">
        <f>SUM(H816:H817)</f>
        <v>0</v>
      </c>
      <c r="I815" s="1350">
        <f>SUM(I816:I817)</f>
        <v>0</v>
      </c>
      <c r="J815" s="1351">
        <f>SUM(J816:J817)</f>
        <v>0</v>
      </c>
      <c r="K815" s="416"/>
    </row>
    <row r="816" spans="1:226" s="418" customFormat="1" ht="15" hidden="1" customHeight="1">
      <c r="A816" s="1772"/>
      <c r="B816" s="1774"/>
      <c r="C816" s="1804"/>
      <c r="D816" s="1806"/>
      <c r="E816" s="1352"/>
      <c r="F816" s="1353">
        <f>SUM(G816:J816)</f>
        <v>0</v>
      </c>
      <c r="G816" s="1353"/>
      <c r="H816" s="1353"/>
      <c r="I816" s="1353"/>
      <c r="J816" s="1354"/>
      <c r="K816" s="416"/>
    </row>
    <row r="817" spans="1:226" s="418" customFormat="1" ht="15" hidden="1" customHeight="1">
      <c r="A817" s="1772"/>
      <c r="B817" s="1774"/>
      <c r="C817" s="1804"/>
      <c r="D817" s="1806"/>
      <c r="E817" s="1352"/>
      <c r="F817" s="1353">
        <f>SUM(G817:J817)</f>
        <v>0</v>
      </c>
      <c r="G817" s="1353"/>
      <c r="H817" s="1353"/>
      <c r="I817" s="1353"/>
      <c r="J817" s="1354"/>
      <c r="K817" s="416"/>
      <c r="L817" s="416"/>
      <c r="M817" s="416"/>
      <c r="N817" s="416"/>
      <c r="O817" s="416"/>
      <c r="P817" s="416"/>
      <c r="Q817" s="416"/>
      <c r="R817" s="416"/>
      <c r="S817" s="416"/>
      <c r="T817" s="416"/>
      <c r="U817" s="416"/>
      <c r="V817" s="416"/>
      <c r="W817" s="416"/>
      <c r="X817" s="416"/>
      <c r="Y817" s="416"/>
      <c r="Z817" s="416"/>
      <c r="AA817" s="416"/>
      <c r="AB817" s="416"/>
      <c r="AC817" s="416"/>
      <c r="AD817" s="416"/>
      <c r="AE817" s="416"/>
      <c r="AF817" s="416"/>
      <c r="AG817" s="416"/>
      <c r="AH817" s="416"/>
      <c r="AI817" s="416"/>
      <c r="AJ817" s="416"/>
      <c r="AK817" s="416"/>
      <c r="AL817" s="416"/>
      <c r="AM817" s="416"/>
      <c r="AN817" s="416"/>
      <c r="AO817" s="416"/>
      <c r="AP817" s="416"/>
      <c r="AQ817" s="416"/>
      <c r="AR817" s="416"/>
      <c r="AS817" s="416"/>
      <c r="AT817" s="416"/>
      <c r="AU817" s="416"/>
      <c r="AV817" s="416"/>
      <c r="AW817" s="416"/>
      <c r="AX817" s="416"/>
      <c r="AY817" s="416"/>
      <c r="AZ817" s="416"/>
      <c r="BA817" s="416"/>
      <c r="BB817" s="416"/>
      <c r="BC817" s="416"/>
      <c r="BD817" s="416"/>
      <c r="BE817" s="416"/>
      <c r="BF817" s="416"/>
      <c r="BG817" s="416"/>
      <c r="BH817" s="416"/>
      <c r="BI817" s="416"/>
      <c r="BJ817" s="416"/>
      <c r="BK817" s="416"/>
      <c r="BL817" s="416"/>
      <c r="BM817" s="416"/>
      <c r="BN817" s="416"/>
      <c r="BO817" s="416"/>
      <c r="BP817" s="416"/>
      <c r="BQ817" s="416"/>
      <c r="BR817" s="416"/>
      <c r="BS817" s="416"/>
      <c r="BT817" s="416"/>
      <c r="BU817" s="416"/>
      <c r="BV817" s="416"/>
      <c r="BW817" s="416"/>
      <c r="BX817" s="416"/>
      <c r="BY817" s="416"/>
      <c r="BZ817" s="416"/>
      <c r="CA817" s="416"/>
      <c r="CB817" s="416"/>
      <c r="CC817" s="416"/>
      <c r="CD817" s="416"/>
      <c r="CE817" s="416"/>
      <c r="CF817" s="416"/>
      <c r="CG817" s="416"/>
      <c r="CH817" s="416"/>
      <c r="CI817" s="416"/>
      <c r="CJ817" s="416"/>
      <c r="CK817" s="416"/>
      <c r="CL817" s="416"/>
      <c r="CM817" s="416"/>
      <c r="CN817" s="416"/>
      <c r="CO817" s="416"/>
      <c r="CP817" s="416"/>
      <c r="CQ817" s="416"/>
      <c r="CR817" s="416"/>
      <c r="CS817" s="416"/>
      <c r="CT817" s="416"/>
      <c r="CU817" s="416"/>
      <c r="CV817" s="416"/>
      <c r="CW817" s="416"/>
      <c r="CX817" s="416"/>
      <c r="CY817" s="416"/>
      <c r="CZ817" s="416"/>
      <c r="DA817" s="416"/>
      <c r="DB817" s="416"/>
      <c r="DC817" s="416"/>
      <c r="DD817" s="416"/>
      <c r="DE817" s="416"/>
      <c r="DF817" s="416"/>
      <c r="DG817" s="416"/>
      <c r="DH817" s="416"/>
      <c r="DI817" s="416"/>
      <c r="DJ817" s="416"/>
      <c r="DK817" s="416"/>
      <c r="DL817" s="416"/>
      <c r="DM817" s="416"/>
      <c r="DN817" s="416"/>
      <c r="DO817" s="416"/>
      <c r="DP817" s="416"/>
      <c r="DQ817" s="416"/>
      <c r="DR817" s="416"/>
      <c r="DS817" s="416"/>
      <c r="DT817" s="416"/>
      <c r="DU817" s="416"/>
      <c r="DV817" s="416"/>
      <c r="DW817" s="416"/>
      <c r="DX817" s="416"/>
      <c r="DY817" s="416"/>
      <c r="DZ817" s="416"/>
      <c r="EA817" s="416"/>
      <c r="EB817" s="416"/>
      <c r="EC817" s="416"/>
      <c r="ED817" s="416"/>
      <c r="EE817" s="416"/>
      <c r="EF817" s="416"/>
      <c r="EG817" s="416"/>
      <c r="EH817" s="416"/>
      <c r="EI817" s="416"/>
      <c r="EJ817" s="416"/>
      <c r="EK817" s="416"/>
      <c r="EL817" s="416"/>
      <c r="EM817" s="416"/>
      <c r="EN817" s="416"/>
      <c r="EO817" s="416"/>
      <c r="EP817" s="416"/>
      <c r="EQ817" s="416"/>
      <c r="ER817" s="416"/>
      <c r="ES817" s="416"/>
      <c r="ET817" s="416"/>
      <c r="EU817" s="416"/>
      <c r="EV817" s="416"/>
      <c r="EW817" s="416"/>
      <c r="EX817" s="416"/>
      <c r="EY817" s="416"/>
      <c r="EZ817" s="416"/>
      <c r="FA817" s="416"/>
      <c r="FB817" s="416"/>
      <c r="FC817" s="416"/>
      <c r="FD817" s="416"/>
      <c r="FE817" s="416"/>
      <c r="FF817" s="416"/>
      <c r="FG817" s="416"/>
      <c r="FH817" s="416"/>
      <c r="FI817" s="416"/>
      <c r="FJ817" s="416"/>
      <c r="FK817" s="416"/>
      <c r="FL817" s="416"/>
      <c r="FM817" s="416"/>
      <c r="FN817" s="416"/>
      <c r="FO817" s="416"/>
      <c r="FP817" s="416"/>
      <c r="FQ817" s="416"/>
      <c r="FR817" s="416"/>
      <c r="FS817" s="416"/>
      <c r="FT817" s="416"/>
      <c r="FU817" s="416"/>
      <c r="FV817" s="416"/>
      <c r="FW817" s="416"/>
      <c r="FX817" s="416"/>
      <c r="FY817" s="416"/>
      <c r="FZ817" s="416"/>
      <c r="GA817" s="416"/>
      <c r="GB817" s="416"/>
      <c r="GC817" s="416"/>
      <c r="GD817" s="416"/>
      <c r="GE817" s="416"/>
      <c r="GF817" s="416"/>
      <c r="GG817" s="416"/>
      <c r="GH817" s="416"/>
      <c r="GI817" s="416"/>
      <c r="GJ817" s="416"/>
      <c r="GK817" s="416"/>
      <c r="GL817" s="416"/>
      <c r="GM817" s="416"/>
      <c r="GN817" s="416"/>
      <c r="GO817" s="416"/>
      <c r="GP817" s="416"/>
      <c r="GQ817" s="416"/>
      <c r="GR817" s="416"/>
      <c r="GS817" s="416"/>
      <c r="GT817" s="416"/>
      <c r="GU817" s="416"/>
      <c r="GV817" s="416"/>
      <c r="GW817" s="416"/>
      <c r="GX817" s="416"/>
      <c r="GY817" s="416"/>
      <c r="GZ817" s="416"/>
      <c r="HA817" s="416"/>
      <c r="HB817" s="416"/>
      <c r="HC817" s="416"/>
      <c r="HD817" s="416"/>
      <c r="HE817" s="416"/>
      <c r="HF817" s="416"/>
      <c r="HG817" s="416"/>
      <c r="HH817" s="416"/>
      <c r="HI817" s="416"/>
      <c r="HJ817" s="416"/>
      <c r="HK817" s="416"/>
      <c r="HL817" s="416"/>
      <c r="HM817" s="416"/>
      <c r="HN817" s="416"/>
      <c r="HO817" s="416"/>
      <c r="HP817" s="416"/>
      <c r="HQ817" s="416"/>
      <c r="HR817" s="416"/>
    </row>
    <row r="818" spans="1:226" s="418" customFormat="1" ht="24.95" hidden="1" customHeight="1">
      <c r="A818" s="1772"/>
      <c r="B818" s="1774"/>
      <c r="C818" s="1804"/>
      <c r="D818" s="1806"/>
      <c r="E818" s="1349" t="s">
        <v>340</v>
      </c>
      <c r="F818" s="1350">
        <f>SUM(F819:F820)</f>
        <v>0</v>
      </c>
      <c r="G818" s="1350">
        <f>SUM(G819:G820)</f>
        <v>0</v>
      </c>
      <c r="H818" s="1350">
        <f>SUM(H819:H820)</f>
        <v>0</v>
      </c>
      <c r="I818" s="1350">
        <f>SUM(I819:I820)</f>
        <v>0</v>
      </c>
      <c r="J818" s="1351">
        <f>SUM(J819:J820)</f>
        <v>0</v>
      </c>
      <c r="K818" s="416"/>
    </row>
    <row r="819" spans="1:226" s="418" customFormat="1" ht="15" hidden="1" customHeight="1">
      <c r="A819" s="1772"/>
      <c r="B819" s="1774"/>
      <c r="C819" s="1804"/>
      <c r="D819" s="1806"/>
      <c r="E819" s="1352"/>
      <c r="F819" s="1353">
        <f>SUM(G819:J819)</f>
        <v>0</v>
      </c>
      <c r="G819" s="1353"/>
      <c r="H819" s="1353"/>
      <c r="I819" s="1353"/>
      <c r="J819" s="1354"/>
      <c r="K819" s="416"/>
    </row>
    <row r="820" spans="1:226" s="418" customFormat="1" ht="15" hidden="1" customHeight="1">
      <c r="A820" s="1772"/>
      <c r="B820" s="1774"/>
      <c r="C820" s="1804"/>
      <c r="D820" s="1806"/>
      <c r="E820" s="1352"/>
      <c r="F820" s="1353">
        <f>SUM(G820:J820)</f>
        <v>0</v>
      </c>
      <c r="G820" s="1353"/>
      <c r="H820" s="1353"/>
      <c r="I820" s="1353"/>
      <c r="J820" s="1354"/>
      <c r="K820" s="416"/>
    </row>
    <row r="821" spans="1:226" s="418" customFormat="1" ht="24.95" customHeight="1">
      <c r="A821" s="1772"/>
      <c r="B821" s="1774"/>
      <c r="C821" s="1804"/>
      <c r="D821" s="1806"/>
      <c r="E821" s="1355" t="s">
        <v>324</v>
      </c>
      <c r="F821" s="1347">
        <f>SUM(F822:F827)</f>
        <v>21855000</v>
      </c>
      <c r="G821" s="1347">
        <f>SUM(G822:G827)</f>
        <v>3278250</v>
      </c>
      <c r="H821" s="1347">
        <f>SUM(H822:H827)</f>
        <v>18576750</v>
      </c>
      <c r="I821" s="1347">
        <f>SUM(I822:I827)</f>
        <v>0</v>
      </c>
      <c r="J821" s="1348">
        <f>SUM(J822:J827)</f>
        <v>0</v>
      </c>
      <c r="K821" s="416"/>
    </row>
    <row r="822" spans="1:226" s="418" customFormat="1" ht="15" hidden="1" customHeight="1">
      <c r="A822" s="1772"/>
      <c r="B822" s="1774"/>
      <c r="C822" s="1804"/>
      <c r="D822" s="1806"/>
      <c r="E822" s="1352" t="s">
        <v>405</v>
      </c>
      <c r="F822" s="1353">
        <f t="shared" ref="F822:F827" si="77">SUM(G822:J822)</f>
        <v>0</v>
      </c>
      <c r="G822" s="1353"/>
      <c r="H822" s="1353"/>
      <c r="I822" s="1353"/>
      <c r="J822" s="1354"/>
      <c r="K822" s="416"/>
    </row>
    <row r="823" spans="1:226" s="418" customFormat="1" ht="15" customHeight="1">
      <c r="A823" s="1773"/>
      <c r="B823" s="1775"/>
      <c r="C823" s="1805"/>
      <c r="D823" s="1807"/>
      <c r="E823" s="1384" t="s">
        <v>406</v>
      </c>
      <c r="F823" s="1353">
        <f t="shared" si="77"/>
        <v>17301750</v>
      </c>
      <c r="G823" s="1359"/>
      <c r="H823" s="1359">
        <v>17301750</v>
      </c>
      <c r="I823" s="1359"/>
      <c r="J823" s="1360"/>
      <c r="K823" s="416"/>
    </row>
    <row r="824" spans="1:226" s="418" customFormat="1" ht="15" customHeight="1">
      <c r="A824" s="1773"/>
      <c r="B824" s="1775"/>
      <c r="C824" s="1805"/>
      <c r="D824" s="1807"/>
      <c r="E824" s="1384" t="s">
        <v>451</v>
      </c>
      <c r="F824" s="1353">
        <f t="shared" si="77"/>
        <v>3053250</v>
      </c>
      <c r="G824" s="1359">
        <v>3053250</v>
      </c>
      <c r="H824" s="1359"/>
      <c r="I824" s="1359"/>
      <c r="J824" s="1360"/>
      <c r="K824" s="416"/>
    </row>
    <row r="825" spans="1:226" s="418" customFormat="1" ht="15" hidden="1" customHeight="1">
      <c r="A825" s="1773"/>
      <c r="B825" s="1775"/>
      <c r="C825" s="1805"/>
      <c r="D825" s="1807"/>
      <c r="E825" s="1384" t="s">
        <v>401</v>
      </c>
      <c r="F825" s="1353">
        <f t="shared" si="77"/>
        <v>0</v>
      </c>
      <c r="G825" s="1359"/>
      <c r="H825" s="1359"/>
      <c r="I825" s="1359"/>
      <c r="J825" s="1360"/>
      <c r="K825" s="416"/>
    </row>
    <row r="826" spans="1:226" s="418" customFormat="1" ht="15" customHeight="1">
      <c r="A826" s="1773"/>
      <c r="B826" s="1775"/>
      <c r="C826" s="1805"/>
      <c r="D826" s="1807"/>
      <c r="E826" s="1384" t="s">
        <v>397</v>
      </c>
      <c r="F826" s="1353">
        <f t="shared" si="77"/>
        <v>1275000</v>
      </c>
      <c r="G826" s="1359"/>
      <c r="H826" s="1359">
        <v>1275000</v>
      </c>
      <c r="I826" s="1359"/>
      <c r="J826" s="1360"/>
      <c r="K826" s="416"/>
    </row>
    <row r="827" spans="1:226" s="418" customFormat="1" ht="15" customHeight="1" thickBot="1">
      <c r="A827" s="1783"/>
      <c r="B827" s="1821"/>
      <c r="C827" s="1823"/>
      <c r="D827" s="1825"/>
      <c r="E827" s="1356">
        <v>6069</v>
      </c>
      <c r="F827" s="1357">
        <f t="shared" si="77"/>
        <v>225000</v>
      </c>
      <c r="G827" s="1357">
        <v>225000</v>
      </c>
      <c r="H827" s="1357"/>
      <c r="I827" s="1357"/>
      <c r="J827" s="1373"/>
      <c r="K827" s="416"/>
    </row>
    <row r="828" spans="1:226" s="418" customFormat="1" ht="24.95" customHeight="1">
      <c r="A828" s="1829" t="s">
        <v>414</v>
      </c>
      <c r="B828" s="1830" t="s">
        <v>495</v>
      </c>
      <c r="C828" s="1831">
        <v>600</v>
      </c>
      <c r="D828" s="1832" t="s">
        <v>482</v>
      </c>
      <c r="E828" s="1340" t="s">
        <v>322</v>
      </c>
      <c r="F828" s="1341">
        <f>SUM(F829,F836)</f>
        <v>14773127</v>
      </c>
      <c r="G828" s="1341">
        <f>SUM(G829,G836)</f>
        <v>2215969</v>
      </c>
      <c r="H828" s="1341">
        <f>SUM(H829,H836)</f>
        <v>12557158</v>
      </c>
      <c r="I828" s="1341">
        <f>SUM(I829,I836)</f>
        <v>0</v>
      </c>
      <c r="J828" s="1342">
        <f>SUM(J829,J836)</f>
        <v>0</v>
      </c>
      <c r="K828" s="416"/>
    </row>
    <row r="829" spans="1:226" s="418" customFormat="1" ht="24.95" customHeight="1">
      <c r="A829" s="1772"/>
      <c r="B829" s="1774"/>
      <c r="C829" s="1804"/>
      <c r="D829" s="1806"/>
      <c r="E829" s="1346" t="s">
        <v>323</v>
      </c>
      <c r="F829" s="1347">
        <f>SUM(F830,F833)</f>
        <v>0</v>
      </c>
      <c r="G829" s="1347">
        <f>SUM(G830,G833)</f>
        <v>0</v>
      </c>
      <c r="H829" s="1347">
        <f>SUM(H830,H833)</f>
        <v>0</v>
      </c>
      <c r="I829" s="1347">
        <f>SUM(I830,I833)</f>
        <v>0</v>
      </c>
      <c r="J829" s="1348">
        <f>SUM(J830,J833)</f>
        <v>0</v>
      </c>
      <c r="K829" s="416"/>
    </row>
    <row r="830" spans="1:226" s="418" customFormat="1" ht="24.95" hidden="1" customHeight="1">
      <c r="A830" s="1772"/>
      <c r="B830" s="1774"/>
      <c r="C830" s="1804"/>
      <c r="D830" s="1806"/>
      <c r="E830" s="1349" t="s">
        <v>335</v>
      </c>
      <c r="F830" s="1350">
        <f>SUM(F831:F832)</f>
        <v>0</v>
      </c>
      <c r="G830" s="1350">
        <f>SUM(G831:G832)</f>
        <v>0</v>
      </c>
      <c r="H830" s="1350">
        <f>SUM(H831:H832)</f>
        <v>0</v>
      </c>
      <c r="I830" s="1350">
        <f>SUM(I831:I832)</f>
        <v>0</v>
      </c>
      <c r="J830" s="1351">
        <f>SUM(J831:J832)</f>
        <v>0</v>
      </c>
      <c r="K830" s="416"/>
    </row>
    <row r="831" spans="1:226" s="418" customFormat="1" ht="15" hidden="1" customHeight="1">
      <c r="A831" s="1772"/>
      <c r="B831" s="1774"/>
      <c r="C831" s="1804"/>
      <c r="D831" s="1806"/>
      <c r="E831" s="1352"/>
      <c r="F831" s="1353">
        <f>SUM(G831:J831)</f>
        <v>0</v>
      </c>
      <c r="G831" s="1353"/>
      <c r="H831" s="1353"/>
      <c r="I831" s="1353"/>
      <c r="J831" s="1354"/>
      <c r="K831" s="416"/>
    </row>
    <row r="832" spans="1:226" s="418" customFormat="1" ht="15" hidden="1" customHeight="1">
      <c r="A832" s="1772"/>
      <c r="B832" s="1774"/>
      <c r="C832" s="1804"/>
      <c r="D832" s="1806"/>
      <c r="E832" s="1352"/>
      <c r="F832" s="1353">
        <f>SUM(G832:J832)</f>
        <v>0</v>
      </c>
      <c r="G832" s="1353"/>
      <c r="H832" s="1353"/>
      <c r="I832" s="1353"/>
      <c r="J832" s="1354"/>
      <c r="K832" s="416"/>
      <c r="L832" s="416"/>
      <c r="M832" s="416"/>
      <c r="N832" s="416"/>
      <c r="O832" s="416"/>
      <c r="P832" s="416"/>
      <c r="Q832" s="416"/>
      <c r="R832" s="416"/>
      <c r="S832" s="416"/>
      <c r="T832" s="416"/>
      <c r="U832" s="416"/>
      <c r="V832" s="416"/>
      <c r="W832" s="416"/>
      <c r="X832" s="416"/>
      <c r="Y832" s="416"/>
      <c r="Z832" s="416"/>
      <c r="AA832" s="416"/>
      <c r="AB832" s="416"/>
      <c r="AC832" s="416"/>
      <c r="AD832" s="416"/>
      <c r="AE832" s="416"/>
      <c r="AF832" s="416"/>
      <c r="AG832" s="416"/>
      <c r="AH832" s="416"/>
      <c r="AI832" s="416"/>
      <c r="AJ832" s="416"/>
      <c r="AK832" s="416"/>
      <c r="AL832" s="416"/>
      <c r="AM832" s="416"/>
      <c r="AN832" s="416"/>
      <c r="AO832" s="416"/>
      <c r="AP832" s="416"/>
      <c r="AQ832" s="416"/>
      <c r="AR832" s="416"/>
      <c r="AS832" s="416"/>
      <c r="AT832" s="416"/>
      <c r="AU832" s="416"/>
      <c r="AV832" s="416"/>
      <c r="AW832" s="416"/>
      <c r="AX832" s="416"/>
      <c r="AY832" s="416"/>
      <c r="AZ832" s="416"/>
      <c r="BA832" s="416"/>
      <c r="BB832" s="416"/>
      <c r="BC832" s="416"/>
      <c r="BD832" s="416"/>
      <c r="BE832" s="416"/>
      <c r="BF832" s="416"/>
      <c r="BG832" s="416"/>
      <c r="BH832" s="416"/>
      <c r="BI832" s="416"/>
      <c r="BJ832" s="416"/>
      <c r="BK832" s="416"/>
      <c r="BL832" s="416"/>
      <c r="BM832" s="416"/>
      <c r="BN832" s="416"/>
      <c r="BO832" s="416"/>
      <c r="BP832" s="416"/>
      <c r="BQ832" s="416"/>
      <c r="BR832" s="416"/>
      <c r="BS832" s="416"/>
      <c r="BT832" s="416"/>
      <c r="BU832" s="416"/>
      <c r="BV832" s="416"/>
      <c r="BW832" s="416"/>
      <c r="BX832" s="416"/>
      <c r="BY832" s="416"/>
      <c r="BZ832" s="416"/>
      <c r="CA832" s="416"/>
      <c r="CB832" s="416"/>
      <c r="CC832" s="416"/>
      <c r="CD832" s="416"/>
      <c r="CE832" s="416"/>
      <c r="CF832" s="416"/>
      <c r="CG832" s="416"/>
      <c r="CH832" s="416"/>
      <c r="CI832" s="416"/>
      <c r="CJ832" s="416"/>
      <c r="CK832" s="416"/>
      <c r="CL832" s="416"/>
      <c r="CM832" s="416"/>
      <c r="CN832" s="416"/>
      <c r="CO832" s="416"/>
      <c r="CP832" s="416"/>
      <c r="CQ832" s="416"/>
      <c r="CR832" s="416"/>
      <c r="CS832" s="416"/>
      <c r="CT832" s="416"/>
      <c r="CU832" s="416"/>
      <c r="CV832" s="416"/>
      <c r="CW832" s="416"/>
      <c r="CX832" s="416"/>
      <c r="CY832" s="416"/>
      <c r="CZ832" s="416"/>
      <c r="DA832" s="416"/>
      <c r="DB832" s="416"/>
      <c r="DC832" s="416"/>
      <c r="DD832" s="416"/>
      <c r="DE832" s="416"/>
      <c r="DF832" s="416"/>
      <c r="DG832" s="416"/>
      <c r="DH832" s="416"/>
      <c r="DI832" s="416"/>
      <c r="DJ832" s="416"/>
      <c r="DK832" s="416"/>
      <c r="DL832" s="416"/>
      <c r="DM832" s="416"/>
      <c r="DN832" s="416"/>
      <c r="DO832" s="416"/>
      <c r="DP832" s="416"/>
      <c r="DQ832" s="416"/>
      <c r="DR832" s="416"/>
      <c r="DS832" s="416"/>
      <c r="DT832" s="416"/>
      <c r="DU832" s="416"/>
      <c r="DV832" s="416"/>
      <c r="DW832" s="416"/>
      <c r="DX832" s="416"/>
      <c r="DY832" s="416"/>
      <c r="DZ832" s="416"/>
      <c r="EA832" s="416"/>
      <c r="EB832" s="416"/>
      <c r="EC832" s="416"/>
      <c r="ED832" s="416"/>
      <c r="EE832" s="416"/>
      <c r="EF832" s="416"/>
      <c r="EG832" s="416"/>
      <c r="EH832" s="416"/>
      <c r="EI832" s="416"/>
      <c r="EJ832" s="416"/>
      <c r="EK832" s="416"/>
      <c r="EL832" s="416"/>
      <c r="EM832" s="416"/>
      <c r="EN832" s="416"/>
      <c r="EO832" s="416"/>
      <c r="EP832" s="416"/>
      <c r="EQ832" s="416"/>
      <c r="ER832" s="416"/>
      <c r="ES832" s="416"/>
      <c r="ET832" s="416"/>
      <c r="EU832" s="416"/>
      <c r="EV832" s="416"/>
      <c r="EW832" s="416"/>
      <c r="EX832" s="416"/>
      <c r="EY832" s="416"/>
      <c r="EZ832" s="416"/>
      <c r="FA832" s="416"/>
      <c r="FB832" s="416"/>
      <c r="FC832" s="416"/>
      <c r="FD832" s="416"/>
      <c r="FE832" s="416"/>
      <c r="FF832" s="416"/>
      <c r="FG832" s="416"/>
      <c r="FH832" s="416"/>
      <c r="FI832" s="416"/>
      <c r="FJ832" s="416"/>
      <c r="FK832" s="416"/>
      <c r="FL832" s="416"/>
      <c r="FM832" s="416"/>
      <c r="FN832" s="416"/>
      <c r="FO832" s="416"/>
      <c r="FP832" s="416"/>
      <c r="FQ832" s="416"/>
      <c r="FR832" s="416"/>
      <c r="FS832" s="416"/>
      <c r="FT832" s="416"/>
      <c r="FU832" s="416"/>
      <c r="FV832" s="416"/>
      <c r="FW832" s="416"/>
      <c r="FX832" s="416"/>
      <c r="FY832" s="416"/>
      <c r="FZ832" s="416"/>
      <c r="GA832" s="416"/>
      <c r="GB832" s="416"/>
      <c r="GC832" s="416"/>
      <c r="GD832" s="416"/>
      <c r="GE832" s="416"/>
      <c r="GF832" s="416"/>
      <c r="GG832" s="416"/>
      <c r="GH832" s="416"/>
      <c r="GI832" s="416"/>
      <c r="GJ832" s="416"/>
      <c r="GK832" s="416"/>
      <c r="GL832" s="416"/>
      <c r="GM832" s="416"/>
      <c r="GN832" s="416"/>
      <c r="GO832" s="416"/>
      <c r="GP832" s="416"/>
      <c r="GQ832" s="416"/>
      <c r="GR832" s="416"/>
      <c r="GS832" s="416"/>
      <c r="GT832" s="416"/>
      <c r="GU832" s="416"/>
      <c r="GV832" s="416"/>
      <c r="GW832" s="416"/>
      <c r="GX832" s="416"/>
      <c r="GY832" s="416"/>
      <c r="GZ832" s="416"/>
      <c r="HA832" s="416"/>
      <c r="HB832" s="416"/>
      <c r="HC832" s="416"/>
      <c r="HD832" s="416"/>
      <c r="HE832" s="416"/>
      <c r="HF832" s="416"/>
      <c r="HG832" s="416"/>
      <c r="HH832" s="416"/>
      <c r="HI832" s="416"/>
      <c r="HJ832" s="416"/>
      <c r="HK832" s="416"/>
      <c r="HL832" s="416"/>
      <c r="HM832" s="416"/>
      <c r="HN832" s="416"/>
      <c r="HO832" s="416"/>
      <c r="HP832" s="416"/>
      <c r="HQ832" s="416"/>
      <c r="HR832" s="416"/>
    </row>
    <row r="833" spans="1:226" s="418" customFormat="1" ht="24.95" hidden="1" customHeight="1">
      <c r="A833" s="1772"/>
      <c r="B833" s="1774"/>
      <c r="C833" s="1804"/>
      <c r="D833" s="1806"/>
      <c r="E833" s="1349" t="s">
        <v>340</v>
      </c>
      <c r="F833" s="1350">
        <f>SUM(F834:F835)</f>
        <v>0</v>
      </c>
      <c r="G833" s="1350">
        <f>SUM(G834:G835)</f>
        <v>0</v>
      </c>
      <c r="H833" s="1350">
        <f>SUM(H834:H835)</f>
        <v>0</v>
      </c>
      <c r="I833" s="1350">
        <f>SUM(I834:I835)</f>
        <v>0</v>
      </c>
      <c r="J833" s="1351">
        <f>SUM(J834:J835)</f>
        <v>0</v>
      </c>
      <c r="K833" s="416"/>
    </row>
    <row r="834" spans="1:226" s="418" customFormat="1" ht="15" hidden="1" customHeight="1">
      <c r="A834" s="1772"/>
      <c r="B834" s="1774"/>
      <c r="C834" s="1804"/>
      <c r="D834" s="1806"/>
      <c r="E834" s="1352"/>
      <c r="F834" s="1353">
        <f>SUM(G834:J834)</f>
        <v>0</v>
      </c>
      <c r="G834" s="1353"/>
      <c r="H834" s="1353"/>
      <c r="I834" s="1353"/>
      <c r="J834" s="1354"/>
      <c r="K834" s="416"/>
    </row>
    <row r="835" spans="1:226" s="418" customFormat="1" ht="15" hidden="1" customHeight="1">
      <c r="A835" s="1772"/>
      <c r="B835" s="1774"/>
      <c r="C835" s="1804"/>
      <c r="D835" s="1806"/>
      <c r="E835" s="1352"/>
      <c r="F835" s="1353">
        <f>SUM(G835:J835)</f>
        <v>0</v>
      </c>
      <c r="G835" s="1353"/>
      <c r="H835" s="1353"/>
      <c r="I835" s="1353"/>
      <c r="J835" s="1354"/>
      <c r="K835" s="416"/>
    </row>
    <row r="836" spans="1:226" s="418" customFormat="1" ht="24.95" customHeight="1">
      <c r="A836" s="1772"/>
      <c r="B836" s="1774"/>
      <c r="C836" s="1804"/>
      <c r="D836" s="1806"/>
      <c r="E836" s="1355" t="s">
        <v>324</v>
      </c>
      <c r="F836" s="1347">
        <f>SUM(F837:F842)</f>
        <v>14773127</v>
      </c>
      <c r="G836" s="1347">
        <f>SUM(G837:G842)</f>
        <v>2215969</v>
      </c>
      <c r="H836" s="1347">
        <f>SUM(H837:H842)</f>
        <v>12557158</v>
      </c>
      <c r="I836" s="1347">
        <f>SUM(I837:I842)</f>
        <v>0</v>
      </c>
      <c r="J836" s="1348">
        <f>SUM(J837:J842)</f>
        <v>0</v>
      </c>
      <c r="K836" s="416"/>
    </row>
    <row r="837" spans="1:226" s="418" customFormat="1" ht="15" hidden="1" customHeight="1">
      <c r="A837" s="1772"/>
      <c r="B837" s="1774"/>
      <c r="C837" s="1804"/>
      <c r="D837" s="1806"/>
      <c r="E837" s="1352" t="s">
        <v>405</v>
      </c>
      <c r="F837" s="1353">
        <f t="shared" ref="F837:F842" si="78">SUM(G837:J837)</f>
        <v>0</v>
      </c>
      <c r="G837" s="1353"/>
      <c r="H837" s="1353"/>
      <c r="I837" s="1353"/>
      <c r="J837" s="1354"/>
      <c r="K837" s="416"/>
    </row>
    <row r="838" spans="1:226" s="418" customFormat="1" ht="15" customHeight="1">
      <c r="A838" s="1773"/>
      <c r="B838" s="1775"/>
      <c r="C838" s="1805"/>
      <c r="D838" s="1807"/>
      <c r="E838" s="1384" t="s">
        <v>406</v>
      </c>
      <c r="F838" s="1353">
        <f t="shared" si="78"/>
        <v>12557158</v>
      </c>
      <c r="G838" s="1359"/>
      <c r="H838" s="1359">
        <v>12557158</v>
      </c>
      <c r="I838" s="1359"/>
      <c r="J838" s="1360"/>
      <c r="K838" s="416"/>
    </row>
    <row r="839" spans="1:226" s="418" customFormat="1" ht="15" customHeight="1" thickBot="1">
      <c r="A839" s="1773"/>
      <c r="B839" s="1775"/>
      <c r="C839" s="1805"/>
      <c r="D839" s="1807"/>
      <c r="E839" s="1384" t="s">
        <v>451</v>
      </c>
      <c r="F839" s="1353">
        <f t="shared" si="78"/>
        <v>2215969</v>
      </c>
      <c r="G839" s="1359">
        <v>2215969</v>
      </c>
      <c r="H839" s="1359"/>
      <c r="I839" s="1359"/>
      <c r="J839" s="1360"/>
      <c r="K839" s="416"/>
    </row>
    <row r="840" spans="1:226" s="418" customFormat="1" ht="15" hidden="1" customHeight="1">
      <c r="A840" s="1773"/>
      <c r="B840" s="1775"/>
      <c r="C840" s="1805"/>
      <c r="D840" s="1807"/>
      <c r="E840" s="1384" t="s">
        <v>401</v>
      </c>
      <c r="F840" s="1353">
        <f t="shared" si="78"/>
        <v>0</v>
      </c>
      <c r="G840" s="1359"/>
      <c r="H840" s="1359"/>
      <c r="I840" s="1359"/>
      <c r="J840" s="1360"/>
      <c r="K840" s="416"/>
    </row>
    <row r="841" spans="1:226" s="418" customFormat="1" ht="15" hidden="1" customHeight="1">
      <c r="A841" s="1773"/>
      <c r="B841" s="1775"/>
      <c r="C841" s="1805"/>
      <c r="D841" s="1807"/>
      <c r="E841" s="1384" t="s">
        <v>397</v>
      </c>
      <c r="F841" s="1353">
        <f t="shared" si="78"/>
        <v>0</v>
      </c>
      <c r="G841" s="1359"/>
      <c r="H841" s="1359"/>
      <c r="I841" s="1359"/>
      <c r="J841" s="1360"/>
      <c r="K841" s="416"/>
    </row>
    <row r="842" spans="1:226" s="418" customFormat="1" ht="15" hidden="1" customHeight="1">
      <c r="A842" s="1773"/>
      <c r="B842" s="1775"/>
      <c r="C842" s="1805"/>
      <c r="D842" s="1807"/>
      <c r="E842" s="1358">
        <v>6069</v>
      </c>
      <c r="F842" s="1359">
        <f t="shared" si="78"/>
        <v>0</v>
      </c>
      <c r="G842" s="1359"/>
      <c r="H842" s="1359"/>
      <c r="I842" s="1359"/>
      <c r="J842" s="1360"/>
      <c r="K842" s="416"/>
    </row>
    <row r="843" spans="1:226" s="418" customFormat="1" ht="24.95" customHeight="1">
      <c r="A843" s="1782" t="s">
        <v>416</v>
      </c>
      <c r="B843" s="1833" t="s">
        <v>496</v>
      </c>
      <c r="C843" s="1822">
        <v>600</v>
      </c>
      <c r="D843" s="1824" t="s">
        <v>482</v>
      </c>
      <c r="E843" s="1361" t="s">
        <v>322</v>
      </c>
      <c r="F843" s="1362">
        <f>SUM(F844,F851)</f>
        <v>31173715</v>
      </c>
      <c r="G843" s="1362">
        <f>SUM(G844,G851)</f>
        <v>5526059</v>
      </c>
      <c r="H843" s="1362">
        <f>SUM(H844,H851)</f>
        <v>25647656</v>
      </c>
      <c r="I843" s="1362">
        <f>SUM(I844,I851)</f>
        <v>0</v>
      </c>
      <c r="J843" s="1363">
        <f>SUM(J844,J851)</f>
        <v>0</v>
      </c>
      <c r="K843" s="416"/>
    </row>
    <row r="844" spans="1:226" s="418" customFormat="1" ht="24.95" customHeight="1">
      <c r="A844" s="1772"/>
      <c r="B844" s="1774"/>
      <c r="C844" s="1804"/>
      <c r="D844" s="1806"/>
      <c r="E844" s="1346" t="s">
        <v>323</v>
      </c>
      <c r="F844" s="1347">
        <f>SUM(F845,F848)</f>
        <v>0</v>
      </c>
      <c r="G844" s="1347">
        <f>SUM(G845,G848)</f>
        <v>0</v>
      </c>
      <c r="H844" s="1347">
        <f>SUM(H845,H848)</f>
        <v>0</v>
      </c>
      <c r="I844" s="1347">
        <f>SUM(I845,I848)</f>
        <v>0</v>
      </c>
      <c r="J844" s="1348">
        <f>SUM(J845,J848)</f>
        <v>0</v>
      </c>
      <c r="K844" s="416"/>
    </row>
    <row r="845" spans="1:226" s="418" customFormat="1" ht="24.95" hidden="1" customHeight="1">
      <c r="A845" s="1772"/>
      <c r="B845" s="1774"/>
      <c r="C845" s="1804"/>
      <c r="D845" s="1806"/>
      <c r="E845" s="1349" t="s">
        <v>335</v>
      </c>
      <c r="F845" s="1350">
        <f>SUM(F846:F847)</f>
        <v>0</v>
      </c>
      <c r="G845" s="1350">
        <f>SUM(G846:G847)</f>
        <v>0</v>
      </c>
      <c r="H845" s="1350">
        <f>SUM(H846:H847)</f>
        <v>0</v>
      </c>
      <c r="I845" s="1350">
        <f>SUM(I846:I847)</f>
        <v>0</v>
      </c>
      <c r="J845" s="1351">
        <f>SUM(J846:J847)</f>
        <v>0</v>
      </c>
      <c r="K845" s="416"/>
    </row>
    <row r="846" spans="1:226" s="418" customFormat="1" ht="15" hidden="1" customHeight="1">
      <c r="A846" s="1772"/>
      <c r="B846" s="1774"/>
      <c r="C846" s="1804"/>
      <c r="D846" s="1806"/>
      <c r="E846" s="1352"/>
      <c r="F846" s="1353">
        <f>SUM(G846:J846)</f>
        <v>0</v>
      </c>
      <c r="G846" s="1353"/>
      <c r="H846" s="1353"/>
      <c r="I846" s="1353"/>
      <c r="J846" s="1354"/>
      <c r="K846" s="416"/>
    </row>
    <row r="847" spans="1:226" s="418" customFormat="1" ht="15" hidden="1" customHeight="1">
      <c r="A847" s="1772"/>
      <c r="B847" s="1774"/>
      <c r="C847" s="1804"/>
      <c r="D847" s="1806"/>
      <c r="E847" s="1352"/>
      <c r="F847" s="1353">
        <f>SUM(G847:J847)</f>
        <v>0</v>
      </c>
      <c r="G847" s="1353"/>
      <c r="H847" s="1353"/>
      <c r="I847" s="1353"/>
      <c r="J847" s="1354"/>
      <c r="K847" s="416"/>
      <c r="L847" s="416"/>
      <c r="M847" s="416"/>
      <c r="N847" s="416"/>
      <c r="O847" s="416"/>
      <c r="P847" s="416"/>
      <c r="Q847" s="416"/>
      <c r="R847" s="416"/>
      <c r="S847" s="416"/>
      <c r="T847" s="416"/>
      <c r="U847" s="416"/>
      <c r="V847" s="416"/>
      <c r="W847" s="416"/>
      <c r="X847" s="416"/>
      <c r="Y847" s="416"/>
      <c r="Z847" s="416"/>
      <c r="AA847" s="416"/>
      <c r="AB847" s="416"/>
      <c r="AC847" s="416"/>
      <c r="AD847" s="416"/>
      <c r="AE847" s="416"/>
      <c r="AF847" s="416"/>
      <c r="AG847" s="416"/>
      <c r="AH847" s="416"/>
      <c r="AI847" s="416"/>
      <c r="AJ847" s="416"/>
      <c r="AK847" s="416"/>
      <c r="AL847" s="416"/>
      <c r="AM847" s="416"/>
      <c r="AN847" s="416"/>
      <c r="AO847" s="416"/>
      <c r="AP847" s="416"/>
      <c r="AQ847" s="416"/>
      <c r="AR847" s="416"/>
      <c r="AS847" s="416"/>
      <c r="AT847" s="416"/>
      <c r="AU847" s="416"/>
      <c r="AV847" s="416"/>
      <c r="AW847" s="416"/>
      <c r="AX847" s="416"/>
      <c r="AY847" s="416"/>
      <c r="AZ847" s="416"/>
      <c r="BA847" s="416"/>
      <c r="BB847" s="416"/>
      <c r="BC847" s="416"/>
      <c r="BD847" s="416"/>
      <c r="BE847" s="416"/>
      <c r="BF847" s="416"/>
      <c r="BG847" s="416"/>
      <c r="BH847" s="416"/>
      <c r="BI847" s="416"/>
      <c r="BJ847" s="416"/>
      <c r="BK847" s="416"/>
      <c r="BL847" s="416"/>
      <c r="BM847" s="416"/>
      <c r="BN847" s="416"/>
      <c r="BO847" s="416"/>
      <c r="BP847" s="416"/>
      <c r="BQ847" s="416"/>
      <c r="BR847" s="416"/>
      <c r="BS847" s="416"/>
      <c r="BT847" s="416"/>
      <c r="BU847" s="416"/>
      <c r="BV847" s="416"/>
      <c r="BW847" s="416"/>
      <c r="BX847" s="416"/>
      <c r="BY847" s="416"/>
      <c r="BZ847" s="416"/>
      <c r="CA847" s="416"/>
      <c r="CB847" s="416"/>
      <c r="CC847" s="416"/>
      <c r="CD847" s="416"/>
      <c r="CE847" s="416"/>
      <c r="CF847" s="416"/>
      <c r="CG847" s="416"/>
      <c r="CH847" s="416"/>
      <c r="CI847" s="416"/>
      <c r="CJ847" s="416"/>
      <c r="CK847" s="416"/>
      <c r="CL847" s="416"/>
      <c r="CM847" s="416"/>
      <c r="CN847" s="416"/>
      <c r="CO847" s="416"/>
      <c r="CP847" s="416"/>
      <c r="CQ847" s="416"/>
      <c r="CR847" s="416"/>
      <c r="CS847" s="416"/>
      <c r="CT847" s="416"/>
      <c r="CU847" s="416"/>
      <c r="CV847" s="416"/>
      <c r="CW847" s="416"/>
      <c r="CX847" s="416"/>
      <c r="CY847" s="416"/>
      <c r="CZ847" s="416"/>
      <c r="DA847" s="416"/>
      <c r="DB847" s="416"/>
      <c r="DC847" s="416"/>
      <c r="DD847" s="416"/>
      <c r="DE847" s="416"/>
      <c r="DF847" s="416"/>
      <c r="DG847" s="416"/>
      <c r="DH847" s="416"/>
      <c r="DI847" s="416"/>
      <c r="DJ847" s="416"/>
      <c r="DK847" s="416"/>
      <c r="DL847" s="416"/>
      <c r="DM847" s="416"/>
      <c r="DN847" s="416"/>
      <c r="DO847" s="416"/>
      <c r="DP847" s="416"/>
      <c r="DQ847" s="416"/>
      <c r="DR847" s="416"/>
      <c r="DS847" s="416"/>
      <c r="DT847" s="416"/>
      <c r="DU847" s="416"/>
      <c r="DV847" s="416"/>
      <c r="DW847" s="416"/>
      <c r="DX847" s="416"/>
      <c r="DY847" s="416"/>
      <c r="DZ847" s="416"/>
      <c r="EA847" s="416"/>
      <c r="EB847" s="416"/>
      <c r="EC847" s="416"/>
      <c r="ED847" s="416"/>
      <c r="EE847" s="416"/>
      <c r="EF847" s="416"/>
      <c r="EG847" s="416"/>
      <c r="EH847" s="416"/>
      <c r="EI847" s="416"/>
      <c r="EJ847" s="416"/>
      <c r="EK847" s="416"/>
      <c r="EL847" s="416"/>
      <c r="EM847" s="416"/>
      <c r="EN847" s="416"/>
      <c r="EO847" s="416"/>
      <c r="EP847" s="416"/>
      <c r="EQ847" s="416"/>
      <c r="ER847" s="416"/>
      <c r="ES847" s="416"/>
      <c r="ET847" s="416"/>
      <c r="EU847" s="416"/>
      <c r="EV847" s="416"/>
      <c r="EW847" s="416"/>
      <c r="EX847" s="416"/>
      <c r="EY847" s="416"/>
      <c r="EZ847" s="416"/>
      <c r="FA847" s="416"/>
      <c r="FB847" s="416"/>
      <c r="FC847" s="416"/>
      <c r="FD847" s="416"/>
      <c r="FE847" s="416"/>
      <c r="FF847" s="416"/>
      <c r="FG847" s="416"/>
      <c r="FH847" s="416"/>
      <c r="FI847" s="416"/>
      <c r="FJ847" s="416"/>
      <c r="FK847" s="416"/>
      <c r="FL847" s="416"/>
      <c r="FM847" s="416"/>
      <c r="FN847" s="416"/>
      <c r="FO847" s="416"/>
      <c r="FP847" s="416"/>
      <c r="FQ847" s="416"/>
      <c r="FR847" s="416"/>
      <c r="FS847" s="416"/>
      <c r="FT847" s="416"/>
      <c r="FU847" s="416"/>
      <c r="FV847" s="416"/>
      <c r="FW847" s="416"/>
      <c r="FX847" s="416"/>
      <c r="FY847" s="416"/>
      <c r="FZ847" s="416"/>
      <c r="GA847" s="416"/>
      <c r="GB847" s="416"/>
      <c r="GC847" s="416"/>
      <c r="GD847" s="416"/>
      <c r="GE847" s="416"/>
      <c r="GF847" s="416"/>
      <c r="GG847" s="416"/>
      <c r="GH847" s="416"/>
      <c r="GI847" s="416"/>
      <c r="GJ847" s="416"/>
      <c r="GK847" s="416"/>
      <c r="GL847" s="416"/>
      <c r="GM847" s="416"/>
      <c r="GN847" s="416"/>
      <c r="GO847" s="416"/>
      <c r="GP847" s="416"/>
      <c r="GQ847" s="416"/>
      <c r="GR847" s="416"/>
      <c r="GS847" s="416"/>
      <c r="GT847" s="416"/>
      <c r="GU847" s="416"/>
      <c r="GV847" s="416"/>
      <c r="GW847" s="416"/>
      <c r="GX847" s="416"/>
      <c r="GY847" s="416"/>
      <c r="GZ847" s="416"/>
      <c r="HA847" s="416"/>
      <c r="HB847" s="416"/>
      <c r="HC847" s="416"/>
      <c r="HD847" s="416"/>
      <c r="HE847" s="416"/>
      <c r="HF847" s="416"/>
      <c r="HG847" s="416"/>
      <c r="HH847" s="416"/>
      <c r="HI847" s="416"/>
      <c r="HJ847" s="416"/>
      <c r="HK847" s="416"/>
      <c r="HL847" s="416"/>
      <c r="HM847" s="416"/>
      <c r="HN847" s="416"/>
      <c r="HO847" s="416"/>
      <c r="HP847" s="416"/>
      <c r="HQ847" s="416"/>
      <c r="HR847" s="416"/>
    </row>
    <row r="848" spans="1:226" s="418" customFormat="1" ht="24.95" hidden="1" customHeight="1">
      <c r="A848" s="1772"/>
      <c r="B848" s="1774"/>
      <c r="C848" s="1804"/>
      <c r="D848" s="1806"/>
      <c r="E848" s="1349" t="s">
        <v>340</v>
      </c>
      <c r="F848" s="1350">
        <f>SUM(F849:F850)</f>
        <v>0</v>
      </c>
      <c r="G848" s="1350">
        <f>SUM(G849:G850)</f>
        <v>0</v>
      </c>
      <c r="H848" s="1350">
        <f>SUM(H849:H850)</f>
        <v>0</v>
      </c>
      <c r="I848" s="1350">
        <f>SUM(I849:I850)</f>
        <v>0</v>
      </c>
      <c r="J848" s="1351">
        <f>SUM(J849:J850)</f>
        <v>0</v>
      </c>
      <c r="K848" s="416"/>
    </row>
    <row r="849" spans="1:226" s="418" customFormat="1" ht="15" hidden="1" customHeight="1">
      <c r="A849" s="1772"/>
      <c r="B849" s="1774"/>
      <c r="C849" s="1804"/>
      <c r="D849" s="1806"/>
      <c r="E849" s="1352"/>
      <c r="F849" s="1353">
        <f>SUM(G849:J849)</f>
        <v>0</v>
      </c>
      <c r="G849" s="1353"/>
      <c r="H849" s="1353"/>
      <c r="I849" s="1353"/>
      <c r="J849" s="1354"/>
      <c r="K849" s="416"/>
    </row>
    <row r="850" spans="1:226" s="418" customFormat="1" ht="15" hidden="1" customHeight="1">
      <c r="A850" s="1772"/>
      <c r="B850" s="1774"/>
      <c r="C850" s="1804"/>
      <c r="D850" s="1806"/>
      <c r="E850" s="1352"/>
      <c r="F850" s="1353">
        <f>SUM(G850:J850)</f>
        <v>0</v>
      </c>
      <c r="G850" s="1353"/>
      <c r="H850" s="1353"/>
      <c r="I850" s="1353"/>
      <c r="J850" s="1354"/>
      <c r="K850" s="416"/>
    </row>
    <row r="851" spans="1:226" s="418" customFormat="1" ht="24.95" customHeight="1">
      <c r="A851" s="1772"/>
      <c r="B851" s="1774"/>
      <c r="C851" s="1804"/>
      <c r="D851" s="1806"/>
      <c r="E851" s="1355" t="s">
        <v>324</v>
      </c>
      <c r="F851" s="1347">
        <f>SUM(F852:F857)</f>
        <v>31173715</v>
      </c>
      <c r="G851" s="1347">
        <f>SUM(G852:G857)</f>
        <v>5526059</v>
      </c>
      <c r="H851" s="1347">
        <f>SUM(H852:H857)</f>
        <v>25647656</v>
      </c>
      <c r="I851" s="1347">
        <f>SUM(I852:I857)</f>
        <v>0</v>
      </c>
      <c r="J851" s="1348">
        <f>SUM(J852:J857)</f>
        <v>0</v>
      </c>
      <c r="K851" s="416"/>
    </row>
    <row r="852" spans="1:226" s="418" customFormat="1" ht="15" customHeight="1">
      <c r="A852" s="1772"/>
      <c r="B852" s="1774"/>
      <c r="C852" s="1804"/>
      <c r="D852" s="1806"/>
      <c r="E852" s="1352" t="s">
        <v>405</v>
      </c>
      <c r="F852" s="1353">
        <f t="shared" ref="F852:F857" si="79">SUM(G852:J852)</f>
        <v>1000000</v>
      </c>
      <c r="G852" s="1353">
        <v>1000000</v>
      </c>
      <c r="H852" s="1353"/>
      <c r="I852" s="1353"/>
      <c r="J852" s="1354"/>
      <c r="K852" s="416"/>
    </row>
    <row r="853" spans="1:226" s="418" customFormat="1" ht="15" customHeight="1">
      <c r="A853" s="1773"/>
      <c r="B853" s="1775"/>
      <c r="C853" s="1805"/>
      <c r="D853" s="1807"/>
      <c r="E853" s="1384" t="s">
        <v>406</v>
      </c>
      <c r="F853" s="1353">
        <f t="shared" si="79"/>
        <v>25562656</v>
      </c>
      <c r="G853" s="1359"/>
      <c r="H853" s="1359">
        <v>25562656</v>
      </c>
      <c r="I853" s="1359"/>
      <c r="J853" s="1360"/>
      <c r="K853" s="416"/>
    </row>
    <row r="854" spans="1:226" s="418" customFormat="1" ht="15" customHeight="1">
      <c r="A854" s="1773"/>
      <c r="B854" s="1775"/>
      <c r="C854" s="1805"/>
      <c r="D854" s="1807"/>
      <c r="E854" s="1384" t="s">
        <v>451</v>
      </c>
      <c r="F854" s="1353">
        <f t="shared" si="79"/>
        <v>4511059</v>
      </c>
      <c r="G854" s="1359">
        <v>4511059</v>
      </c>
      <c r="H854" s="1359"/>
      <c r="I854" s="1359"/>
      <c r="J854" s="1360"/>
      <c r="K854" s="416"/>
    </row>
    <row r="855" spans="1:226" s="418" customFormat="1" ht="15" hidden="1" customHeight="1">
      <c r="A855" s="1773"/>
      <c r="B855" s="1775"/>
      <c r="C855" s="1805"/>
      <c r="D855" s="1807"/>
      <c r="E855" s="1384" t="s">
        <v>401</v>
      </c>
      <c r="F855" s="1353">
        <f t="shared" si="79"/>
        <v>0</v>
      </c>
      <c r="G855" s="1359"/>
      <c r="H855" s="1359"/>
      <c r="I855" s="1359"/>
      <c r="J855" s="1360"/>
      <c r="K855" s="416"/>
    </row>
    <row r="856" spans="1:226" s="418" customFormat="1" ht="15" customHeight="1">
      <c r="A856" s="1773"/>
      <c r="B856" s="1775"/>
      <c r="C856" s="1805"/>
      <c r="D856" s="1807"/>
      <c r="E856" s="1384" t="s">
        <v>397</v>
      </c>
      <c r="F856" s="1353">
        <f t="shared" si="79"/>
        <v>85000</v>
      </c>
      <c r="G856" s="1359"/>
      <c r="H856" s="1359">
        <v>85000</v>
      </c>
      <c r="I856" s="1359"/>
      <c r="J856" s="1360"/>
      <c r="K856" s="416"/>
    </row>
    <row r="857" spans="1:226" s="418" customFormat="1" ht="15" customHeight="1" thickBot="1">
      <c r="A857" s="1783"/>
      <c r="B857" s="1821"/>
      <c r="C857" s="1823"/>
      <c r="D857" s="1825"/>
      <c r="E857" s="1356">
        <v>6069</v>
      </c>
      <c r="F857" s="1357">
        <f t="shared" si="79"/>
        <v>15000</v>
      </c>
      <c r="G857" s="1357">
        <v>15000</v>
      </c>
      <c r="H857" s="1357"/>
      <c r="I857" s="1357"/>
      <c r="J857" s="1373"/>
      <c r="K857" s="416"/>
    </row>
    <row r="858" spans="1:226" s="418" customFormat="1" ht="24.95" customHeight="1">
      <c r="A858" s="1829" t="s">
        <v>419</v>
      </c>
      <c r="B858" s="1830" t="s">
        <v>497</v>
      </c>
      <c r="C858" s="1831">
        <v>600</v>
      </c>
      <c r="D858" s="1832" t="s">
        <v>482</v>
      </c>
      <c r="E858" s="1340" t="s">
        <v>322</v>
      </c>
      <c r="F858" s="1341">
        <f>SUM(F859,F866)</f>
        <v>62464461</v>
      </c>
      <c r="G858" s="1341">
        <f>SUM(G859,G866)</f>
        <v>10654951</v>
      </c>
      <c r="H858" s="1341">
        <f>SUM(H859,H866)</f>
        <v>51809510</v>
      </c>
      <c r="I858" s="1341">
        <f>SUM(I859,I866)</f>
        <v>0</v>
      </c>
      <c r="J858" s="1342">
        <f>SUM(J859,J866)</f>
        <v>0</v>
      </c>
      <c r="K858" s="416"/>
    </row>
    <row r="859" spans="1:226" s="418" customFormat="1" ht="17.25" customHeight="1">
      <c r="A859" s="1772"/>
      <c r="B859" s="1774"/>
      <c r="C859" s="1804"/>
      <c r="D859" s="1806"/>
      <c r="E859" s="1346" t="s">
        <v>323</v>
      </c>
      <c r="F859" s="1347">
        <f>SUM(F860,F863)</f>
        <v>0</v>
      </c>
      <c r="G859" s="1347">
        <f>SUM(G860,G863)</f>
        <v>0</v>
      </c>
      <c r="H859" s="1347">
        <f>SUM(H860,H863)</f>
        <v>0</v>
      </c>
      <c r="I859" s="1347">
        <f>SUM(I860,I863)</f>
        <v>0</v>
      </c>
      <c r="J859" s="1348">
        <f>SUM(J860,J863)</f>
        <v>0</v>
      </c>
      <c r="K859" s="416"/>
    </row>
    <row r="860" spans="1:226" s="418" customFormat="1" ht="24.95" hidden="1" customHeight="1">
      <c r="A860" s="1772"/>
      <c r="B860" s="1774"/>
      <c r="C860" s="1804"/>
      <c r="D860" s="1806"/>
      <c r="E860" s="1349" t="s">
        <v>335</v>
      </c>
      <c r="F860" s="1350">
        <f>SUM(F861:F862)</f>
        <v>0</v>
      </c>
      <c r="G860" s="1350">
        <f>SUM(G861:G862)</f>
        <v>0</v>
      </c>
      <c r="H860" s="1350">
        <f>SUM(H861:H862)</f>
        <v>0</v>
      </c>
      <c r="I860" s="1350">
        <f>SUM(I861:I862)</f>
        <v>0</v>
      </c>
      <c r="J860" s="1351">
        <f>SUM(J861:J862)</f>
        <v>0</v>
      </c>
      <c r="K860" s="416"/>
    </row>
    <row r="861" spans="1:226" s="418" customFormat="1" ht="15" hidden="1" customHeight="1">
      <c r="A861" s="1772"/>
      <c r="B861" s="1774"/>
      <c r="C861" s="1804"/>
      <c r="D861" s="1806"/>
      <c r="E861" s="1352"/>
      <c r="F861" s="1353">
        <f>SUM(G861:J861)</f>
        <v>0</v>
      </c>
      <c r="G861" s="1353"/>
      <c r="H861" s="1353"/>
      <c r="I861" s="1353"/>
      <c r="J861" s="1354"/>
      <c r="K861" s="416"/>
    </row>
    <row r="862" spans="1:226" s="418" customFormat="1" ht="15" hidden="1" customHeight="1">
      <c r="A862" s="1772"/>
      <c r="B862" s="1774"/>
      <c r="C862" s="1804"/>
      <c r="D862" s="1806"/>
      <c r="E862" s="1352"/>
      <c r="F862" s="1353">
        <f>SUM(G862:J862)</f>
        <v>0</v>
      </c>
      <c r="G862" s="1353"/>
      <c r="H862" s="1353"/>
      <c r="I862" s="1353"/>
      <c r="J862" s="1354"/>
      <c r="K862" s="416"/>
      <c r="L862" s="416"/>
      <c r="M862" s="416"/>
      <c r="N862" s="416"/>
      <c r="O862" s="416"/>
      <c r="P862" s="416"/>
      <c r="Q862" s="416"/>
      <c r="R862" s="416"/>
      <c r="S862" s="416"/>
      <c r="T862" s="416"/>
      <c r="U862" s="416"/>
      <c r="V862" s="416"/>
      <c r="W862" s="416"/>
      <c r="X862" s="416"/>
      <c r="Y862" s="416"/>
      <c r="Z862" s="416"/>
      <c r="AA862" s="416"/>
      <c r="AB862" s="416"/>
      <c r="AC862" s="416"/>
      <c r="AD862" s="416"/>
      <c r="AE862" s="416"/>
      <c r="AF862" s="416"/>
      <c r="AG862" s="416"/>
      <c r="AH862" s="416"/>
      <c r="AI862" s="416"/>
      <c r="AJ862" s="416"/>
      <c r="AK862" s="416"/>
      <c r="AL862" s="416"/>
      <c r="AM862" s="416"/>
      <c r="AN862" s="416"/>
      <c r="AO862" s="416"/>
      <c r="AP862" s="416"/>
      <c r="AQ862" s="416"/>
      <c r="AR862" s="416"/>
      <c r="AS862" s="416"/>
      <c r="AT862" s="416"/>
      <c r="AU862" s="416"/>
      <c r="AV862" s="416"/>
      <c r="AW862" s="416"/>
      <c r="AX862" s="416"/>
      <c r="AY862" s="416"/>
      <c r="AZ862" s="416"/>
      <c r="BA862" s="416"/>
      <c r="BB862" s="416"/>
      <c r="BC862" s="416"/>
      <c r="BD862" s="416"/>
      <c r="BE862" s="416"/>
      <c r="BF862" s="416"/>
      <c r="BG862" s="416"/>
      <c r="BH862" s="416"/>
      <c r="BI862" s="416"/>
      <c r="BJ862" s="416"/>
      <c r="BK862" s="416"/>
      <c r="BL862" s="416"/>
      <c r="BM862" s="416"/>
      <c r="BN862" s="416"/>
      <c r="BO862" s="416"/>
      <c r="BP862" s="416"/>
      <c r="BQ862" s="416"/>
      <c r="BR862" s="416"/>
      <c r="BS862" s="416"/>
      <c r="BT862" s="416"/>
      <c r="BU862" s="416"/>
      <c r="BV862" s="416"/>
      <c r="BW862" s="416"/>
      <c r="BX862" s="416"/>
      <c r="BY862" s="416"/>
      <c r="BZ862" s="416"/>
      <c r="CA862" s="416"/>
      <c r="CB862" s="416"/>
      <c r="CC862" s="416"/>
      <c r="CD862" s="416"/>
      <c r="CE862" s="416"/>
      <c r="CF862" s="416"/>
      <c r="CG862" s="416"/>
      <c r="CH862" s="416"/>
      <c r="CI862" s="416"/>
      <c r="CJ862" s="416"/>
      <c r="CK862" s="416"/>
      <c r="CL862" s="416"/>
      <c r="CM862" s="416"/>
      <c r="CN862" s="416"/>
      <c r="CO862" s="416"/>
      <c r="CP862" s="416"/>
      <c r="CQ862" s="416"/>
      <c r="CR862" s="416"/>
      <c r="CS862" s="416"/>
      <c r="CT862" s="416"/>
      <c r="CU862" s="416"/>
      <c r="CV862" s="416"/>
      <c r="CW862" s="416"/>
      <c r="CX862" s="416"/>
      <c r="CY862" s="416"/>
      <c r="CZ862" s="416"/>
      <c r="DA862" s="416"/>
      <c r="DB862" s="416"/>
      <c r="DC862" s="416"/>
      <c r="DD862" s="416"/>
      <c r="DE862" s="416"/>
      <c r="DF862" s="416"/>
      <c r="DG862" s="416"/>
      <c r="DH862" s="416"/>
      <c r="DI862" s="416"/>
      <c r="DJ862" s="416"/>
      <c r="DK862" s="416"/>
      <c r="DL862" s="416"/>
      <c r="DM862" s="416"/>
      <c r="DN862" s="416"/>
      <c r="DO862" s="416"/>
      <c r="DP862" s="416"/>
      <c r="DQ862" s="416"/>
      <c r="DR862" s="416"/>
      <c r="DS862" s="416"/>
      <c r="DT862" s="416"/>
      <c r="DU862" s="416"/>
      <c r="DV862" s="416"/>
      <c r="DW862" s="416"/>
      <c r="DX862" s="416"/>
      <c r="DY862" s="416"/>
      <c r="DZ862" s="416"/>
      <c r="EA862" s="416"/>
      <c r="EB862" s="416"/>
      <c r="EC862" s="416"/>
      <c r="ED862" s="416"/>
      <c r="EE862" s="416"/>
      <c r="EF862" s="416"/>
      <c r="EG862" s="416"/>
      <c r="EH862" s="416"/>
      <c r="EI862" s="416"/>
      <c r="EJ862" s="416"/>
      <c r="EK862" s="416"/>
      <c r="EL862" s="416"/>
      <c r="EM862" s="416"/>
      <c r="EN862" s="416"/>
      <c r="EO862" s="416"/>
      <c r="EP862" s="416"/>
      <c r="EQ862" s="416"/>
      <c r="ER862" s="416"/>
      <c r="ES862" s="416"/>
      <c r="ET862" s="416"/>
      <c r="EU862" s="416"/>
      <c r="EV862" s="416"/>
      <c r="EW862" s="416"/>
      <c r="EX862" s="416"/>
      <c r="EY862" s="416"/>
      <c r="EZ862" s="416"/>
      <c r="FA862" s="416"/>
      <c r="FB862" s="416"/>
      <c r="FC862" s="416"/>
      <c r="FD862" s="416"/>
      <c r="FE862" s="416"/>
      <c r="FF862" s="416"/>
      <c r="FG862" s="416"/>
      <c r="FH862" s="416"/>
      <c r="FI862" s="416"/>
      <c r="FJ862" s="416"/>
      <c r="FK862" s="416"/>
      <c r="FL862" s="416"/>
      <c r="FM862" s="416"/>
      <c r="FN862" s="416"/>
      <c r="FO862" s="416"/>
      <c r="FP862" s="416"/>
      <c r="FQ862" s="416"/>
      <c r="FR862" s="416"/>
      <c r="FS862" s="416"/>
      <c r="FT862" s="416"/>
      <c r="FU862" s="416"/>
      <c r="FV862" s="416"/>
      <c r="FW862" s="416"/>
      <c r="FX862" s="416"/>
      <c r="FY862" s="416"/>
      <c r="FZ862" s="416"/>
      <c r="GA862" s="416"/>
      <c r="GB862" s="416"/>
      <c r="GC862" s="416"/>
      <c r="GD862" s="416"/>
      <c r="GE862" s="416"/>
      <c r="GF862" s="416"/>
      <c r="GG862" s="416"/>
      <c r="GH862" s="416"/>
      <c r="GI862" s="416"/>
      <c r="GJ862" s="416"/>
      <c r="GK862" s="416"/>
      <c r="GL862" s="416"/>
      <c r="GM862" s="416"/>
      <c r="GN862" s="416"/>
      <c r="GO862" s="416"/>
      <c r="GP862" s="416"/>
      <c r="GQ862" s="416"/>
      <c r="GR862" s="416"/>
      <c r="GS862" s="416"/>
      <c r="GT862" s="416"/>
      <c r="GU862" s="416"/>
      <c r="GV862" s="416"/>
      <c r="GW862" s="416"/>
      <c r="GX862" s="416"/>
      <c r="GY862" s="416"/>
      <c r="GZ862" s="416"/>
      <c r="HA862" s="416"/>
      <c r="HB862" s="416"/>
      <c r="HC862" s="416"/>
      <c r="HD862" s="416"/>
      <c r="HE862" s="416"/>
      <c r="HF862" s="416"/>
      <c r="HG862" s="416"/>
      <c r="HH862" s="416"/>
      <c r="HI862" s="416"/>
      <c r="HJ862" s="416"/>
      <c r="HK862" s="416"/>
      <c r="HL862" s="416"/>
      <c r="HM862" s="416"/>
      <c r="HN862" s="416"/>
      <c r="HO862" s="416"/>
      <c r="HP862" s="416"/>
      <c r="HQ862" s="416"/>
      <c r="HR862" s="416"/>
    </row>
    <row r="863" spans="1:226" s="418" customFormat="1" ht="24.95" hidden="1" customHeight="1">
      <c r="A863" s="1772"/>
      <c r="B863" s="1774"/>
      <c r="C863" s="1804"/>
      <c r="D863" s="1806"/>
      <c r="E863" s="1349" t="s">
        <v>340</v>
      </c>
      <c r="F863" s="1350">
        <f>SUM(F864:F865)</f>
        <v>0</v>
      </c>
      <c r="G863" s="1350">
        <f>SUM(G864:G865)</f>
        <v>0</v>
      </c>
      <c r="H863" s="1350">
        <f>SUM(H864:H865)</f>
        <v>0</v>
      </c>
      <c r="I863" s="1350">
        <f>SUM(I864:I865)</f>
        <v>0</v>
      </c>
      <c r="J863" s="1351">
        <f>SUM(J864:J865)</f>
        <v>0</v>
      </c>
      <c r="K863" s="416"/>
    </row>
    <row r="864" spans="1:226" s="418" customFormat="1" ht="15" hidden="1" customHeight="1">
      <c r="A864" s="1772"/>
      <c r="B864" s="1774"/>
      <c r="C864" s="1804"/>
      <c r="D864" s="1806"/>
      <c r="E864" s="1352"/>
      <c r="F864" s="1353">
        <f>SUM(G864:J864)</f>
        <v>0</v>
      </c>
      <c r="G864" s="1353"/>
      <c r="H864" s="1353"/>
      <c r="I864" s="1353"/>
      <c r="J864" s="1354"/>
      <c r="K864" s="416"/>
    </row>
    <row r="865" spans="1:226" s="418" customFormat="1" ht="15" hidden="1" customHeight="1">
      <c r="A865" s="1772"/>
      <c r="B865" s="1774"/>
      <c r="C865" s="1804"/>
      <c r="D865" s="1806"/>
      <c r="E865" s="1352"/>
      <c r="F865" s="1353">
        <f>SUM(G865:J865)</f>
        <v>0</v>
      </c>
      <c r="G865" s="1353"/>
      <c r="H865" s="1353"/>
      <c r="I865" s="1353"/>
      <c r="J865" s="1354"/>
      <c r="K865" s="416"/>
    </row>
    <row r="866" spans="1:226" s="418" customFormat="1" ht="16.5" customHeight="1">
      <c r="A866" s="1772"/>
      <c r="B866" s="1774"/>
      <c r="C866" s="1804"/>
      <c r="D866" s="1806"/>
      <c r="E866" s="1355" t="s">
        <v>324</v>
      </c>
      <c r="F866" s="1347">
        <f>SUM(F867:F872)</f>
        <v>62464461</v>
      </c>
      <c r="G866" s="1347">
        <f>SUM(G867:G872)</f>
        <v>10654951</v>
      </c>
      <c r="H866" s="1347">
        <f>SUM(H867:H872)</f>
        <v>51809510</v>
      </c>
      <c r="I866" s="1347">
        <f>SUM(I867:I872)</f>
        <v>0</v>
      </c>
      <c r="J866" s="1348">
        <f>SUM(J867:J872)</f>
        <v>0</v>
      </c>
      <c r="K866" s="416"/>
    </row>
    <row r="867" spans="1:226" s="418" customFormat="1" ht="15" customHeight="1">
      <c r="A867" s="1772"/>
      <c r="B867" s="1774"/>
      <c r="C867" s="1804"/>
      <c r="D867" s="1806"/>
      <c r="E867" s="1352" t="s">
        <v>405</v>
      </c>
      <c r="F867" s="1353">
        <f t="shared" ref="F867:F872" si="80">SUM(G867:J867)</f>
        <v>1500000</v>
      </c>
      <c r="G867" s="1353">
        <v>1500000</v>
      </c>
      <c r="H867" s="1353"/>
      <c r="I867" s="1353"/>
      <c r="J867" s="1354"/>
      <c r="K867" s="416"/>
    </row>
    <row r="868" spans="1:226" s="418" customFormat="1" ht="15" customHeight="1">
      <c r="A868" s="1773"/>
      <c r="B868" s="1775"/>
      <c r="C868" s="1805"/>
      <c r="D868" s="1807"/>
      <c r="E868" s="1384" t="s">
        <v>406</v>
      </c>
      <c r="F868" s="1353">
        <f t="shared" si="80"/>
        <v>47134510</v>
      </c>
      <c r="G868" s="1359"/>
      <c r="H868" s="1359">
        <v>47134510</v>
      </c>
      <c r="I868" s="1359"/>
      <c r="J868" s="1360"/>
      <c r="K868" s="416"/>
    </row>
    <row r="869" spans="1:226" s="418" customFormat="1" ht="15" customHeight="1">
      <c r="A869" s="1773"/>
      <c r="B869" s="1775"/>
      <c r="C869" s="1805"/>
      <c r="D869" s="1807"/>
      <c r="E869" s="1384" t="s">
        <v>451</v>
      </c>
      <c r="F869" s="1353">
        <f t="shared" si="80"/>
        <v>8329951</v>
      </c>
      <c r="G869" s="1359">
        <v>8329951</v>
      </c>
      <c r="H869" s="1359"/>
      <c r="I869" s="1359"/>
      <c r="J869" s="1360"/>
      <c r="K869" s="416"/>
    </row>
    <row r="870" spans="1:226" s="418" customFormat="1" ht="15" hidden="1" customHeight="1">
      <c r="A870" s="1773"/>
      <c r="B870" s="1775"/>
      <c r="C870" s="1805"/>
      <c r="D870" s="1807"/>
      <c r="E870" s="1384" t="s">
        <v>401</v>
      </c>
      <c r="F870" s="1353">
        <f t="shared" si="80"/>
        <v>0</v>
      </c>
      <c r="G870" s="1359"/>
      <c r="H870" s="1359"/>
      <c r="I870" s="1359"/>
      <c r="J870" s="1360"/>
      <c r="K870" s="416"/>
    </row>
    <row r="871" spans="1:226" s="418" customFormat="1" ht="15" customHeight="1">
      <c r="A871" s="1773"/>
      <c r="B871" s="1775"/>
      <c r="C871" s="1805"/>
      <c r="D871" s="1807"/>
      <c r="E871" s="1384" t="s">
        <v>397</v>
      </c>
      <c r="F871" s="1353">
        <f t="shared" si="80"/>
        <v>4675000</v>
      </c>
      <c r="G871" s="1359"/>
      <c r="H871" s="1359">
        <v>4675000</v>
      </c>
      <c r="I871" s="1359"/>
      <c r="J871" s="1360"/>
      <c r="K871" s="416"/>
    </row>
    <row r="872" spans="1:226" s="418" customFormat="1" ht="15" customHeight="1" thickBot="1">
      <c r="A872" s="1773"/>
      <c r="B872" s="1775"/>
      <c r="C872" s="1805"/>
      <c r="D872" s="1807"/>
      <c r="E872" s="1358">
        <v>6069</v>
      </c>
      <c r="F872" s="1359">
        <f t="shared" si="80"/>
        <v>825000</v>
      </c>
      <c r="G872" s="1359">
        <v>825000</v>
      </c>
      <c r="H872" s="1359"/>
      <c r="I872" s="1359"/>
      <c r="J872" s="1360"/>
      <c r="K872" s="416"/>
    </row>
    <row r="873" spans="1:226" s="418" customFormat="1" ht="24" customHeight="1">
      <c r="A873" s="1782" t="s">
        <v>427</v>
      </c>
      <c r="B873" s="1833" t="s">
        <v>498</v>
      </c>
      <c r="C873" s="1822">
        <v>600</v>
      </c>
      <c r="D873" s="1824" t="s">
        <v>482</v>
      </c>
      <c r="E873" s="1361" t="s">
        <v>322</v>
      </c>
      <c r="F873" s="1362">
        <f>SUM(F874,F881)</f>
        <v>33324124</v>
      </c>
      <c r="G873" s="1362">
        <f>SUM(G874,G881)</f>
        <v>5571195</v>
      </c>
      <c r="H873" s="1362">
        <f>SUM(H874,H881)</f>
        <v>27696933</v>
      </c>
      <c r="I873" s="1362">
        <f>SUM(I874,I881)</f>
        <v>0</v>
      </c>
      <c r="J873" s="1363">
        <f>SUM(J874,J881)</f>
        <v>55996</v>
      </c>
      <c r="K873" s="416"/>
    </row>
    <row r="874" spans="1:226" s="418" customFormat="1" ht="15.75" customHeight="1">
      <c r="A874" s="1772"/>
      <c r="B874" s="1774"/>
      <c r="C874" s="1804"/>
      <c r="D874" s="1806"/>
      <c r="E874" s="1346" t="s">
        <v>323</v>
      </c>
      <c r="F874" s="1347">
        <f>SUM(F875,F878)</f>
        <v>0</v>
      </c>
      <c r="G874" s="1347">
        <f>SUM(G875,G878)</f>
        <v>0</v>
      </c>
      <c r="H874" s="1347">
        <f>SUM(H875,H878)</f>
        <v>0</v>
      </c>
      <c r="I874" s="1347">
        <f>SUM(I875,I878)</f>
        <v>0</v>
      </c>
      <c r="J874" s="1348">
        <f>SUM(J875,J878)</f>
        <v>0</v>
      </c>
      <c r="K874" s="416"/>
    </row>
    <row r="875" spans="1:226" s="418" customFormat="1" ht="24.95" hidden="1" customHeight="1">
      <c r="A875" s="1772"/>
      <c r="B875" s="1774"/>
      <c r="C875" s="1804"/>
      <c r="D875" s="1806"/>
      <c r="E875" s="1349" t="s">
        <v>335</v>
      </c>
      <c r="F875" s="1350">
        <f>SUM(F876:F877)</f>
        <v>0</v>
      </c>
      <c r="G875" s="1350">
        <f>SUM(G876:G877)</f>
        <v>0</v>
      </c>
      <c r="H875" s="1350">
        <f>SUM(H876:H877)</f>
        <v>0</v>
      </c>
      <c r="I875" s="1350">
        <f>SUM(I876:I877)</f>
        <v>0</v>
      </c>
      <c r="J875" s="1351">
        <f>SUM(J876:J877)</f>
        <v>0</v>
      </c>
      <c r="K875" s="416"/>
    </row>
    <row r="876" spans="1:226" s="418" customFormat="1" ht="15" hidden="1" customHeight="1">
      <c r="A876" s="1772"/>
      <c r="B876" s="1774"/>
      <c r="C876" s="1804"/>
      <c r="D876" s="1806"/>
      <c r="E876" s="1352"/>
      <c r="F876" s="1353">
        <f>SUM(G876:J876)</f>
        <v>0</v>
      </c>
      <c r="G876" s="1353"/>
      <c r="H876" s="1353"/>
      <c r="I876" s="1353"/>
      <c r="J876" s="1354"/>
      <c r="K876" s="416"/>
    </row>
    <row r="877" spans="1:226" s="418" customFormat="1" ht="15" hidden="1" customHeight="1">
      <c r="A877" s="1772"/>
      <c r="B877" s="1774"/>
      <c r="C877" s="1804"/>
      <c r="D877" s="1806"/>
      <c r="E877" s="1352"/>
      <c r="F877" s="1353">
        <f>SUM(G877:J877)</f>
        <v>0</v>
      </c>
      <c r="G877" s="1353"/>
      <c r="H877" s="1353"/>
      <c r="I877" s="1353"/>
      <c r="J877" s="1354"/>
      <c r="K877" s="416"/>
      <c r="L877" s="416"/>
      <c r="M877" s="416"/>
      <c r="N877" s="416"/>
      <c r="O877" s="416"/>
      <c r="P877" s="416"/>
      <c r="Q877" s="416"/>
      <c r="R877" s="416"/>
      <c r="S877" s="416"/>
      <c r="T877" s="416"/>
      <c r="U877" s="416"/>
      <c r="V877" s="416"/>
      <c r="W877" s="416"/>
      <c r="X877" s="416"/>
      <c r="Y877" s="416"/>
      <c r="Z877" s="416"/>
      <c r="AA877" s="416"/>
      <c r="AB877" s="416"/>
      <c r="AC877" s="416"/>
      <c r="AD877" s="416"/>
      <c r="AE877" s="416"/>
      <c r="AF877" s="416"/>
      <c r="AG877" s="416"/>
      <c r="AH877" s="416"/>
      <c r="AI877" s="416"/>
      <c r="AJ877" s="416"/>
      <c r="AK877" s="416"/>
      <c r="AL877" s="416"/>
      <c r="AM877" s="416"/>
      <c r="AN877" s="416"/>
      <c r="AO877" s="416"/>
      <c r="AP877" s="416"/>
      <c r="AQ877" s="416"/>
      <c r="AR877" s="416"/>
      <c r="AS877" s="416"/>
      <c r="AT877" s="416"/>
      <c r="AU877" s="416"/>
      <c r="AV877" s="416"/>
      <c r="AW877" s="416"/>
      <c r="AX877" s="416"/>
      <c r="AY877" s="416"/>
      <c r="AZ877" s="416"/>
      <c r="BA877" s="416"/>
      <c r="BB877" s="416"/>
      <c r="BC877" s="416"/>
      <c r="BD877" s="416"/>
      <c r="BE877" s="416"/>
      <c r="BF877" s="416"/>
      <c r="BG877" s="416"/>
      <c r="BH877" s="416"/>
      <c r="BI877" s="416"/>
      <c r="BJ877" s="416"/>
      <c r="BK877" s="416"/>
      <c r="BL877" s="416"/>
      <c r="BM877" s="416"/>
      <c r="BN877" s="416"/>
      <c r="BO877" s="416"/>
      <c r="BP877" s="416"/>
      <c r="BQ877" s="416"/>
      <c r="BR877" s="416"/>
      <c r="BS877" s="416"/>
      <c r="BT877" s="416"/>
      <c r="BU877" s="416"/>
      <c r="BV877" s="416"/>
      <c r="BW877" s="416"/>
      <c r="BX877" s="416"/>
      <c r="BY877" s="416"/>
      <c r="BZ877" s="416"/>
      <c r="CA877" s="416"/>
      <c r="CB877" s="416"/>
      <c r="CC877" s="416"/>
      <c r="CD877" s="416"/>
      <c r="CE877" s="416"/>
      <c r="CF877" s="416"/>
      <c r="CG877" s="416"/>
      <c r="CH877" s="416"/>
      <c r="CI877" s="416"/>
      <c r="CJ877" s="416"/>
      <c r="CK877" s="416"/>
      <c r="CL877" s="416"/>
      <c r="CM877" s="416"/>
      <c r="CN877" s="416"/>
      <c r="CO877" s="416"/>
      <c r="CP877" s="416"/>
      <c r="CQ877" s="416"/>
      <c r="CR877" s="416"/>
      <c r="CS877" s="416"/>
      <c r="CT877" s="416"/>
      <c r="CU877" s="416"/>
      <c r="CV877" s="416"/>
      <c r="CW877" s="416"/>
      <c r="CX877" s="416"/>
      <c r="CY877" s="416"/>
      <c r="CZ877" s="416"/>
      <c r="DA877" s="416"/>
      <c r="DB877" s="416"/>
      <c r="DC877" s="416"/>
      <c r="DD877" s="416"/>
      <c r="DE877" s="416"/>
      <c r="DF877" s="416"/>
      <c r="DG877" s="416"/>
      <c r="DH877" s="416"/>
      <c r="DI877" s="416"/>
      <c r="DJ877" s="416"/>
      <c r="DK877" s="416"/>
      <c r="DL877" s="416"/>
      <c r="DM877" s="416"/>
      <c r="DN877" s="416"/>
      <c r="DO877" s="416"/>
      <c r="DP877" s="416"/>
      <c r="DQ877" s="416"/>
      <c r="DR877" s="416"/>
      <c r="DS877" s="416"/>
      <c r="DT877" s="416"/>
      <c r="DU877" s="416"/>
      <c r="DV877" s="416"/>
      <c r="DW877" s="416"/>
      <c r="DX877" s="416"/>
      <c r="DY877" s="416"/>
      <c r="DZ877" s="416"/>
      <c r="EA877" s="416"/>
      <c r="EB877" s="416"/>
      <c r="EC877" s="416"/>
      <c r="ED877" s="416"/>
      <c r="EE877" s="416"/>
      <c r="EF877" s="416"/>
      <c r="EG877" s="416"/>
      <c r="EH877" s="416"/>
      <c r="EI877" s="416"/>
      <c r="EJ877" s="416"/>
      <c r="EK877" s="416"/>
      <c r="EL877" s="416"/>
      <c r="EM877" s="416"/>
      <c r="EN877" s="416"/>
      <c r="EO877" s="416"/>
      <c r="EP877" s="416"/>
      <c r="EQ877" s="416"/>
      <c r="ER877" s="416"/>
      <c r="ES877" s="416"/>
      <c r="ET877" s="416"/>
      <c r="EU877" s="416"/>
      <c r="EV877" s="416"/>
      <c r="EW877" s="416"/>
      <c r="EX877" s="416"/>
      <c r="EY877" s="416"/>
      <c r="EZ877" s="416"/>
      <c r="FA877" s="416"/>
      <c r="FB877" s="416"/>
      <c r="FC877" s="416"/>
      <c r="FD877" s="416"/>
      <c r="FE877" s="416"/>
      <c r="FF877" s="416"/>
      <c r="FG877" s="416"/>
      <c r="FH877" s="416"/>
      <c r="FI877" s="416"/>
      <c r="FJ877" s="416"/>
      <c r="FK877" s="416"/>
      <c r="FL877" s="416"/>
      <c r="FM877" s="416"/>
      <c r="FN877" s="416"/>
      <c r="FO877" s="416"/>
      <c r="FP877" s="416"/>
      <c r="FQ877" s="416"/>
      <c r="FR877" s="416"/>
      <c r="FS877" s="416"/>
      <c r="FT877" s="416"/>
      <c r="FU877" s="416"/>
      <c r="FV877" s="416"/>
      <c r="FW877" s="416"/>
      <c r="FX877" s="416"/>
      <c r="FY877" s="416"/>
      <c r="FZ877" s="416"/>
      <c r="GA877" s="416"/>
      <c r="GB877" s="416"/>
      <c r="GC877" s="416"/>
      <c r="GD877" s="416"/>
      <c r="GE877" s="416"/>
      <c r="GF877" s="416"/>
      <c r="GG877" s="416"/>
      <c r="GH877" s="416"/>
      <c r="GI877" s="416"/>
      <c r="GJ877" s="416"/>
      <c r="GK877" s="416"/>
      <c r="GL877" s="416"/>
      <c r="GM877" s="416"/>
      <c r="GN877" s="416"/>
      <c r="GO877" s="416"/>
      <c r="GP877" s="416"/>
      <c r="GQ877" s="416"/>
      <c r="GR877" s="416"/>
      <c r="GS877" s="416"/>
      <c r="GT877" s="416"/>
      <c r="GU877" s="416"/>
      <c r="GV877" s="416"/>
      <c r="GW877" s="416"/>
      <c r="GX877" s="416"/>
      <c r="GY877" s="416"/>
      <c r="GZ877" s="416"/>
      <c r="HA877" s="416"/>
      <c r="HB877" s="416"/>
      <c r="HC877" s="416"/>
      <c r="HD877" s="416"/>
      <c r="HE877" s="416"/>
      <c r="HF877" s="416"/>
      <c r="HG877" s="416"/>
      <c r="HH877" s="416"/>
      <c r="HI877" s="416"/>
      <c r="HJ877" s="416"/>
      <c r="HK877" s="416"/>
      <c r="HL877" s="416"/>
      <c r="HM877" s="416"/>
      <c r="HN877" s="416"/>
      <c r="HO877" s="416"/>
      <c r="HP877" s="416"/>
      <c r="HQ877" s="416"/>
      <c r="HR877" s="416"/>
    </row>
    <row r="878" spans="1:226" s="418" customFormat="1" ht="24.95" hidden="1" customHeight="1">
      <c r="A878" s="1772"/>
      <c r="B878" s="1774"/>
      <c r="C878" s="1804"/>
      <c r="D878" s="1806"/>
      <c r="E878" s="1349" t="s">
        <v>340</v>
      </c>
      <c r="F878" s="1350">
        <f>SUM(F879:F880)</f>
        <v>0</v>
      </c>
      <c r="G878" s="1350">
        <f>SUM(G879:G880)</f>
        <v>0</v>
      </c>
      <c r="H878" s="1350">
        <f>SUM(H879:H880)</f>
        <v>0</v>
      </c>
      <c r="I878" s="1350">
        <f>SUM(I879:I880)</f>
        <v>0</v>
      </c>
      <c r="J878" s="1351">
        <f>SUM(J879:J880)</f>
        <v>0</v>
      </c>
      <c r="K878" s="416"/>
    </row>
    <row r="879" spans="1:226" s="418" customFormat="1" ht="15" hidden="1" customHeight="1">
      <c r="A879" s="1772"/>
      <c r="B879" s="1774"/>
      <c r="C879" s="1804"/>
      <c r="D879" s="1806"/>
      <c r="E879" s="1352"/>
      <c r="F879" s="1353">
        <f>SUM(G879:J879)</f>
        <v>0</v>
      </c>
      <c r="G879" s="1353"/>
      <c r="H879" s="1353"/>
      <c r="I879" s="1353"/>
      <c r="J879" s="1354"/>
      <c r="K879" s="416"/>
    </row>
    <row r="880" spans="1:226" s="418" customFormat="1" ht="15" hidden="1" customHeight="1">
      <c r="A880" s="1772"/>
      <c r="B880" s="1774"/>
      <c r="C880" s="1804"/>
      <c r="D880" s="1806"/>
      <c r="E880" s="1352"/>
      <c r="F880" s="1353">
        <f>SUM(G880:J880)</f>
        <v>0</v>
      </c>
      <c r="G880" s="1353"/>
      <c r="H880" s="1353"/>
      <c r="I880" s="1353"/>
      <c r="J880" s="1354"/>
      <c r="K880" s="416"/>
    </row>
    <row r="881" spans="1:226" s="418" customFormat="1" ht="14.25" customHeight="1">
      <c r="A881" s="1772"/>
      <c r="B881" s="1774"/>
      <c r="C881" s="1804"/>
      <c r="D881" s="1806"/>
      <c r="E881" s="1355" t="s">
        <v>324</v>
      </c>
      <c r="F881" s="1347">
        <f>SUM(F882:F887)</f>
        <v>33324124</v>
      </c>
      <c r="G881" s="1347">
        <f>SUM(G882:G887)</f>
        <v>5571195</v>
      </c>
      <c r="H881" s="1347">
        <f>SUM(H882:H887)</f>
        <v>27696933</v>
      </c>
      <c r="I881" s="1347">
        <f>SUM(I882:I887)</f>
        <v>0</v>
      </c>
      <c r="J881" s="1348">
        <f>SUM(J882:J887)</f>
        <v>55996</v>
      </c>
      <c r="K881" s="416"/>
    </row>
    <row r="882" spans="1:226" s="418" customFormat="1" ht="15.75" customHeight="1">
      <c r="A882" s="1772"/>
      <c r="B882" s="1774"/>
      <c r="C882" s="1804"/>
      <c r="D882" s="1806"/>
      <c r="E882" s="1352" t="s">
        <v>405</v>
      </c>
      <c r="F882" s="1353">
        <f t="shared" ref="F882:F887" si="81">SUM(G882:J882)</f>
        <v>55996</v>
      </c>
      <c r="G882" s="1353"/>
      <c r="H882" s="1353"/>
      <c r="I882" s="1353"/>
      <c r="J882" s="1354">
        <v>55996</v>
      </c>
      <c r="K882" s="416"/>
    </row>
    <row r="883" spans="1:226" s="418" customFormat="1" ht="15" customHeight="1">
      <c r="A883" s="1773"/>
      <c r="B883" s="1775"/>
      <c r="C883" s="1805"/>
      <c r="D883" s="1807"/>
      <c r="E883" s="1384" t="s">
        <v>406</v>
      </c>
      <c r="F883" s="1353">
        <f t="shared" si="81"/>
        <v>25727909</v>
      </c>
      <c r="G883" s="1359"/>
      <c r="H883" s="1359">
        <v>25727909</v>
      </c>
      <c r="I883" s="1359"/>
      <c r="J883" s="1360"/>
      <c r="K883" s="416"/>
    </row>
    <row r="884" spans="1:226" s="418" customFormat="1" ht="15" customHeight="1">
      <c r="A884" s="1773"/>
      <c r="B884" s="1775"/>
      <c r="C884" s="1805"/>
      <c r="D884" s="1807"/>
      <c r="E884" s="1384" t="s">
        <v>451</v>
      </c>
      <c r="F884" s="1353">
        <f t="shared" si="81"/>
        <v>4596215</v>
      </c>
      <c r="G884" s="1359">
        <v>4596215</v>
      </c>
      <c r="H884" s="1359"/>
      <c r="I884" s="1359"/>
      <c r="J884" s="1360"/>
      <c r="K884" s="416"/>
    </row>
    <row r="885" spans="1:226" s="418" customFormat="1" ht="15" hidden="1" customHeight="1">
      <c r="A885" s="1773"/>
      <c r="B885" s="1775"/>
      <c r="C885" s="1805"/>
      <c r="D885" s="1807"/>
      <c r="E885" s="1384" t="s">
        <v>401</v>
      </c>
      <c r="F885" s="1353">
        <f t="shared" si="81"/>
        <v>0</v>
      </c>
      <c r="G885" s="1359"/>
      <c r="H885" s="1359"/>
      <c r="I885" s="1359"/>
      <c r="J885" s="1360"/>
      <c r="K885" s="416"/>
    </row>
    <row r="886" spans="1:226" s="418" customFormat="1" ht="15" customHeight="1">
      <c r="A886" s="1773"/>
      <c r="B886" s="1775"/>
      <c r="C886" s="1805"/>
      <c r="D886" s="1807"/>
      <c r="E886" s="1384" t="s">
        <v>397</v>
      </c>
      <c r="F886" s="1353">
        <f t="shared" si="81"/>
        <v>1969024</v>
      </c>
      <c r="G886" s="1359"/>
      <c r="H886" s="1359">
        <v>1969024</v>
      </c>
      <c r="I886" s="1359"/>
      <c r="J886" s="1360"/>
      <c r="K886" s="416"/>
    </row>
    <row r="887" spans="1:226" s="418" customFormat="1" ht="15" customHeight="1" thickBot="1">
      <c r="A887" s="1783"/>
      <c r="B887" s="1821"/>
      <c r="C887" s="1823"/>
      <c r="D887" s="1825"/>
      <c r="E887" s="1356">
        <v>6069</v>
      </c>
      <c r="F887" s="1357">
        <f t="shared" si="81"/>
        <v>974980</v>
      </c>
      <c r="G887" s="1357">
        <v>974980</v>
      </c>
      <c r="H887" s="1357"/>
      <c r="I887" s="1357"/>
      <c r="J887" s="1373"/>
      <c r="K887" s="416"/>
    </row>
    <row r="888" spans="1:226" s="418" customFormat="1" ht="22.5">
      <c r="A888" s="1829" t="s">
        <v>429</v>
      </c>
      <c r="B888" s="1830" t="s">
        <v>499</v>
      </c>
      <c r="C888" s="1831">
        <v>600</v>
      </c>
      <c r="D888" s="1832" t="s">
        <v>482</v>
      </c>
      <c r="E888" s="1340" t="s">
        <v>322</v>
      </c>
      <c r="F888" s="1341">
        <f>SUM(F889,F896)</f>
        <v>6261039</v>
      </c>
      <c r="G888" s="1341">
        <f>SUM(G889,G896)</f>
        <v>1232439</v>
      </c>
      <c r="H888" s="1341">
        <f>SUM(H889,H896)</f>
        <v>5028600</v>
      </c>
      <c r="I888" s="1341">
        <f>SUM(I889,I896)</f>
        <v>0</v>
      </c>
      <c r="J888" s="1342">
        <f>SUM(J889,J896)</f>
        <v>0</v>
      </c>
      <c r="K888" s="416"/>
    </row>
    <row r="889" spans="1:226" s="418" customFormat="1" ht="15" customHeight="1">
      <c r="A889" s="1772"/>
      <c r="B889" s="1774"/>
      <c r="C889" s="1804"/>
      <c r="D889" s="1806"/>
      <c r="E889" s="1346" t="s">
        <v>323</v>
      </c>
      <c r="F889" s="1347">
        <f>SUM(F890,F893)</f>
        <v>0</v>
      </c>
      <c r="G889" s="1347">
        <f>SUM(G890,G893)</f>
        <v>0</v>
      </c>
      <c r="H889" s="1347">
        <f>SUM(H890,H893)</f>
        <v>0</v>
      </c>
      <c r="I889" s="1347">
        <f>SUM(I890,I893)</f>
        <v>0</v>
      </c>
      <c r="J889" s="1348">
        <f>SUM(J890,J893)</f>
        <v>0</v>
      </c>
      <c r="K889" s="416"/>
    </row>
    <row r="890" spans="1:226" s="418" customFormat="1" ht="24.95" hidden="1" customHeight="1">
      <c r="A890" s="1772"/>
      <c r="B890" s="1774"/>
      <c r="C890" s="1804"/>
      <c r="D890" s="1806"/>
      <c r="E890" s="1349" t="s">
        <v>335</v>
      </c>
      <c r="F890" s="1350">
        <f>SUM(F891:F892)</f>
        <v>0</v>
      </c>
      <c r="G890" s="1350">
        <f>SUM(G891:G892)</f>
        <v>0</v>
      </c>
      <c r="H890" s="1350">
        <f>SUM(H891:H892)</f>
        <v>0</v>
      </c>
      <c r="I890" s="1350">
        <f>SUM(I891:I892)</f>
        <v>0</v>
      </c>
      <c r="J890" s="1351">
        <f>SUM(J891:J892)</f>
        <v>0</v>
      </c>
      <c r="K890" s="416"/>
    </row>
    <row r="891" spans="1:226" s="418" customFormat="1" ht="15" hidden="1" customHeight="1">
      <c r="A891" s="1772"/>
      <c r="B891" s="1774"/>
      <c r="C891" s="1804"/>
      <c r="D891" s="1806"/>
      <c r="E891" s="1352"/>
      <c r="F891" s="1353">
        <f>SUM(G891:J891)</f>
        <v>0</v>
      </c>
      <c r="G891" s="1353"/>
      <c r="H891" s="1353"/>
      <c r="I891" s="1353"/>
      <c r="J891" s="1354"/>
      <c r="K891" s="416"/>
    </row>
    <row r="892" spans="1:226" s="418" customFormat="1" ht="15" hidden="1" customHeight="1">
      <c r="A892" s="1772"/>
      <c r="B892" s="1774"/>
      <c r="C892" s="1804"/>
      <c r="D892" s="1806"/>
      <c r="E892" s="1352"/>
      <c r="F892" s="1353">
        <f>SUM(G892:J892)</f>
        <v>0</v>
      </c>
      <c r="G892" s="1353"/>
      <c r="H892" s="1353"/>
      <c r="I892" s="1353"/>
      <c r="J892" s="1354"/>
      <c r="K892" s="416"/>
      <c r="L892" s="416"/>
      <c r="M892" s="416"/>
      <c r="N892" s="416"/>
      <c r="O892" s="416"/>
      <c r="P892" s="416"/>
      <c r="Q892" s="416"/>
      <c r="R892" s="416"/>
      <c r="S892" s="416"/>
      <c r="T892" s="416"/>
      <c r="U892" s="416"/>
      <c r="V892" s="416"/>
      <c r="W892" s="416"/>
      <c r="X892" s="416"/>
      <c r="Y892" s="416"/>
      <c r="Z892" s="416"/>
      <c r="AA892" s="416"/>
      <c r="AB892" s="416"/>
      <c r="AC892" s="416"/>
      <c r="AD892" s="416"/>
      <c r="AE892" s="416"/>
      <c r="AF892" s="416"/>
      <c r="AG892" s="416"/>
      <c r="AH892" s="416"/>
      <c r="AI892" s="416"/>
      <c r="AJ892" s="416"/>
      <c r="AK892" s="416"/>
      <c r="AL892" s="416"/>
      <c r="AM892" s="416"/>
      <c r="AN892" s="416"/>
      <c r="AO892" s="416"/>
      <c r="AP892" s="416"/>
      <c r="AQ892" s="416"/>
      <c r="AR892" s="416"/>
      <c r="AS892" s="416"/>
      <c r="AT892" s="416"/>
      <c r="AU892" s="416"/>
      <c r="AV892" s="416"/>
      <c r="AW892" s="416"/>
      <c r="AX892" s="416"/>
      <c r="AY892" s="416"/>
      <c r="AZ892" s="416"/>
      <c r="BA892" s="416"/>
      <c r="BB892" s="416"/>
      <c r="BC892" s="416"/>
      <c r="BD892" s="416"/>
      <c r="BE892" s="416"/>
      <c r="BF892" s="416"/>
      <c r="BG892" s="416"/>
      <c r="BH892" s="416"/>
      <c r="BI892" s="416"/>
      <c r="BJ892" s="416"/>
      <c r="BK892" s="416"/>
      <c r="BL892" s="416"/>
      <c r="BM892" s="416"/>
      <c r="BN892" s="416"/>
      <c r="BO892" s="416"/>
      <c r="BP892" s="416"/>
      <c r="BQ892" s="416"/>
      <c r="BR892" s="416"/>
      <c r="BS892" s="416"/>
      <c r="BT892" s="416"/>
      <c r="BU892" s="416"/>
      <c r="BV892" s="416"/>
      <c r="BW892" s="416"/>
      <c r="BX892" s="416"/>
      <c r="BY892" s="416"/>
      <c r="BZ892" s="416"/>
      <c r="CA892" s="416"/>
      <c r="CB892" s="416"/>
      <c r="CC892" s="416"/>
      <c r="CD892" s="416"/>
      <c r="CE892" s="416"/>
      <c r="CF892" s="416"/>
      <c r="CG892" s="416"/>
      <c r="CH892" s="416"/>
      <c r="CI892" s="416"/>
      <c r="CJ892" s="416"/>
      <c r="CK892" s="416"/>
      <c r="CL892" s="416"/>
      <c r="CM892" s="416"/>
      <c r="CN892" s="416"/>
      <c r="CO892" s="416"/>
      <c r="CP892" s="416"/>
      <c r="CQ892" s="416"/>
      <c r="CR892" s="416"/>
      <c r="CS892" s="416"/>
      <c r="CT892" s="416"/>
      <c r="CU892" s="416"/>
      <c r="CV892" s="416"/>
      <c r="CW892" s="416"/>
      <c r="CX892" s="416"/>
      <c r="CY892" s="416"/>
      <c r="CZ892" s="416"/>
      <c r="DA892" s="416"/>
      <c r="DB892" s="416"/>
      <c r="DC892" s="416"/>
      <c r="DD892" s="416"/>
      <c r="DE892" s="416"/>
      <c r="DF892" s="416"/>
      <c r="DG892" s="416"/>
      <c r="DH892" s="416"/>
      <c r="DI892" s="416"/>
      <c r="DJ892" s="416"/>
      <c r="DK892" s="416"/>
      <c r="DL892" s="416"/>
      <c r="DM892" s="416"/>
      <c r="DN892" s="416"/>
      <c r="DO892" s="416"/>
      <c r="DP892" s="416"/>
      <c r="DQ892" s="416"/>
      <c r="DR892" s="416"/>
      <c r="DS892" s="416"/>
      <c r="DT892" s="416"/>
      <c r="DU892" s="416"/>
      <c r="DV892" s="416"/>
      <c r="DW892" s="416"/>
      <c r="DX892" s="416"/>
      <c r="DY892" s="416"/>
      <c r="DZ892" s="416"/>
      <c r="EA892" s="416"/>
      <c r="EB892" s="416"/>
      <c r="EC892" s="416"/>
      <c r="ED892" s="416"/>
      <c r="EE892" s="416"/>
      <c r="EF892" s="416"/>
      <c r="EG892" s="416"/>
      <c r="EH892" s="416"/>
      <c r="EI892" s="416"/>
      <c r="EJ892" s="416"/>
      <c r="EK892" s="416"/>
      <c r="EL892" s="416"/>
      <c r="EM892" s="416"/>
      <c r="EN892" s="416"/>
      <c r="EO892" s="416"/>
      <c r="EP892" s="416"/>
      <c r="EQ892" s="416"/>
      <c r="ER892" s="416"/>
      <c r="ES892" s="416"/>
      <c r="ET892" s="416"/>
      <c r="EU892" s="416"/>
      <c r="EV892" s="416"/>
      <c r="EW892" s="416"/>
      <c r="EX892" s="416"/>
      <c r="EY892" s="416"/>
      <c r="EZ892" s="416"/>
      <c r="FA892" s="416"/>
      <c r="FB892" s="416"/>
      <c r="FC892" s="416"/>
      <c r="FD892" s="416"/>
      <c r="FE892" s="416"/>
      <c r="FF892" s="416"/>
      <c r="FG892" s="416"/>
      <c r="FH892" s="416"/>
      <c r="FI892" s="416"/>
      <c r="FJ892" s="416"/>
      <c r="FK892" s="416"/>
      <c r="FL892" s="416"/>
      <c r="FM892" s="416"/>
      <c r="FN892" s="416"/>
      <c r="FO892" s="416"/>
      <c r="FP892" s="416"/>
      <c r="FQ892" s="416"/>
      <c r="FR892" s="416"/>
      <c r="FS892" s="416"/>
      <c r="FT892" s="416"/>
      <c r="FU892" s="416"/>
      <c r="FV892" s="416"/>
      <c r="FW892" s="416"/>
      <c r="FX892" s="416"/>
      <c r="FY892" s="416"/>
      <c r="FZ892" s="416"/>
      <c r="GA892" s="416"/>
      <c r="GB892" s="416"/>
      <c r="GC892" s="416"/>
      <c r="GD892" s="416"/>
      <c r="GE892" s="416"/>
      <c r="GF892" s="416"/>
      <c r="GG892" s="416"/>
      <c r="GH892" s="416"/>
      <c r="GI892" s="416"/>
      <c r="GJ892" s="416"/>
      <c r="GK892" s="416"/>
      <c r="GL892" s="416"/>
      <c r="GM892" s="416"/>
      <c r="GN892" s="416"/>
      <c r="GO892" s="416"/>
      <c r="GP892" s="416"/>
      <c r="GQ892" s="416"/>
      <c r="GR892" s="416"/>
      <c r="GS892" s="416"/>
      <c r="GT892" s="416"/>
      <c r="GU892" s="416"/>
      <c r="GV892" s="416"/>
      <c r="GW892" s="416"/>
      <c r="GX892" s="416"/>
      <c r="GY892" s="416"/>
      <c r="GZ892" s="416"/>
      <c r="HA892" s="416"/>
      <c r="HB892" s="416"/>
      <c r="HC892" s="416"/>
      <c r="HD892" s="416"/>
      <c r="HE892" s="416"/>
      <c r="HF892" s="416"/>
      <c r="HG892" s="416"/>
      <c r="HH892" s="416"/>
      <c r="HI892" s="416"/>
      <c r="HJ892" s="416"/>
      <c r="HK892" s="416"/>
      <c r="HL892" s="416"/>
      <c r="HM892" s="416"/>
      <c r="HN892" s="416"/>
      <c r="HO892" s="416"/>
      <c r="HP892" s="416"/>
      <c r="HQ892" s="416"/>
      <c r="HR892" s="416"/>
    </row>
    <row r="893" spans="1:226" s="418" customFormat="1" ht="24.95" hidden="1" customHeight="1">
      <c r="A893" s="1772"/>
      <c r="B893" s="1774"/>
      <c r="C893" s="1804"/>
      <c r="D893" s="1806"/>
      <c r="E893" s="1349" t="s">
        <v>340</v>
      </c>
      <c r="F893" s="1350">
        <f>SUM(F894:F895)</f>
        <v>0</v>
      </c>
      <c r="G893" s="1350">
        <f>SUM(G894:G895)</f>
        <v>0</v>
      </c>
      <c r="H893" s="1350">
        <f>SUM(H894:H895)</f>
        <v>0</v>
      </c>
      <c r="I893" s="1350">
        <f>SUM(I894:I895)</f>
        <v>0</v>
      </c>
      <c r="J893" s="1351">
        <f>SUM(J894:J895)</f>
        <v>0</v>
      </c>
      <c r="K893" s="416"/>
    </row>
    <row r="894" spans="1:226" s="418" customFormat="1" ht="15" hidden="1" customHeight="1">
      <c r="A894" s="1772"/>
      <c r="B894" s="1774"/>
      <c r="C894" s="1804"/>
      <c r="D894" s="1806"/>
      <c r="E894" s="1352"/>
      <c r="F894" s="1353">
        <f>SUM(G894:J894)</f>
        <v>0</v>
      </c>
      <c r="G894" s="1353"/>
      <c r="H894" s="1353"/>
      <c r="I894" s="1353"/>
      <c r="J894" s="1354"/>
      <c r="K894" s="416"/>
    </row>
    <row r="895" spans="1:226" s="418" customFormat="1" ht="15" hidden="1" customHeight="1">
      <c r="A895" s="1772"/>
      <c r="B895" s="1774"/>
      <c r="C895" s="1804"/>
      <c r="D895" s="1806"/>
      <c r="E895" s="1352"/>
      <c r="F895" s="1353">
        <f>SUM(G895:J895)</f>
        <v>0</v>
      </c>
      <c r="G895" s="1353"/>
      <c r="H895" s="1353"/>
      <c r="I895" s="1353"/>
      <c r="J895" s="1354"/>
      <c r="K895" s="416"/>
    </row>
    <row r="896" spans="1:226" s="418" customFormat="1" ht="15" customHeight="1">
      <c r="A896" s="1772"/>
      <c r="B896" s="1774"/>
      <c r="C896" s="1804"/>
      <c r="D896" s="1806"/>
      <c r="E896" s="1355" t="s">
        <v>324</v>
      </c>
      <c r="F896" s="1347">
        <f>SUM(F897:F902)</f>
        <v>6261039</v>
      </c>
      <c r="G896" s="1347">
        <f>SUM(G897:G902)</f>
        <v>1232439</v>
      </c>
      <c r="H896" s="1347">
        <f>SUM(H897:H902)</f>
        <v>5028600</v>
      </c>
      <c r="I896" s="1347">
        <f>SUM(I897:I902)</f>
        <v>0</v>
      </c>
      <c r="J896" s="1348">
        <f>SUM(J897:J902)</f>
        <v>0</v>
      </c>
      <c r="K896" s="416"/>
    </row>
    <row r="897" spans="1:226" s="418" customFormat="1" ht="15" customHeight="1">
      <c r="A897" s="1772"/>
      <c r="B897" s="1774"/>
      <c r="C897" s="1804"/>
      <c r="D897" s="1806"/>
      <c r="E897" s="1352" t="s">
        <v>405</v>
      </c>
      <c r="F897" s="1353">
        <f t="shared" ref="F897:F902" si="82">SUM(G897:J897)</f>
        <v>345039</v>
      </c>
      <c r="G897" s="1353">
        <v>345039</v>
      </c>
      <c r="H897" s="1353"/>
      <c r="I897" s="1353"/>
      <c r="J897" s="1354"/>
      <c r="K897" s="416"/>
    </row>
    <row r="898" spans="1:226" s="418" customFormat="1" ht="15" customHeight="1">
      <c r="A898" s="1773"/>
      <c r="B898" s="1775"/>
      <c r="C898" s="1805"/>
      <c r="D898" s="1807"/>
      <c r="E898" s="1384" t="s">
        <v>406</v>
      </c>
      <c r="F898" s="1353">
        <f t="shared" si="82"/>
        <v>5028600</v>
      </c>
      <c r="G898" s="1359"/>
      <c r="H898" s="1359">
        <v>5028600</v>
      </c>
      <c r="I898" s="1359"/>
      <c r="J898" s="1360"/>
      <c r="K898" s="416"/>
    </row>
    <row r="899" spans="1:226" s="418" customFormat="1" ht="15" customHeight="1" thickBot="1">
      <c r="A899" s="1773"/>
      <c r="B899" s="1775"/>
      <c r="C899" s="1805"/>
      <c r="D899" s="1807"/>
      <c r="E899" s="1384" t="s">
        <v>451</v>
      </c>
      <c r="F899" s="1353">
        <f t="shared" si="82"/>
        <v>887400</v>
      </c>
      <c r="G899" s="1359">
        <v>887400</v>
      </c>
      <c r="H899" s="1359"/>
      <c r="I899" s="1359"/>
      <c r="J899" s="1360"/>
      <c r="K899" s="416"/>
    </row>
    <row r="900" spans="1:226" s="418" customFormat="1" ht="15" hidden="1" customHeight="1">
      <c r="A900" s="1773"/>
      <c r="B900" s="1775"/>
      <c r="C900" s="1805"/>
      <c r="D900" s="1807"/>
      <c r="E900" s="1384" t="s">
        <v>401</v>
      </c>
      <c r="F900" s="1353">
        <f t="shared" si="82"/>
        <v>0</v>
      </c>
      <c r="G900" s="1359"/>
      <c r="H900" s="1359"/>
      <c r="I900" s="1359"/>
      <c r="J900" s="1360"/>
      <c r="K900" s="416"/>
    </row>
    <row r="901" spans="1:226" s="418" customFormat="1" ht="15" hidden="1" customHeight="1">
      <c r="A901" s="1773"/>
      <c r="B901" s="1775"/>
      <c r="C901" s="1805"/>
      <c r="D901" s="1807"/>
      <c r="E901" s="1384" t="s">
        <v>397</v>
      </c>
      <c r="F901" s="1353">
        <f t="shared" si="82"/>
        <v>0</v>
      </c>
      <c r="G901" s="1359"/>
      <c r="H901" s="1359"/>
      <c r="I901" s="1359"/>
      <c r="J901" s="1360"/>
      <c r="K901" s="416"/>
    </row>
    <row r="902" spans="1:226" s="418" customFormat="1" ht="15" hidden="1" customHeight="1">
      <c r="A902" s="1773"/>
      <c r="B902" s="1775"/>
      <c r="C902" s="1805"/>
      <c r="D902" s="1807"/>
      <c r="E902" s="1358">
        <v>6069</v>
      </c>
      <c r="F902" s="1359">
        <f t="shared" si="82"/>
        <v>0</v>
      </c>
      <c r="G902" s="1359"/>
      <c r="H902" s="1359"/>
      <c r="I902" s="1359"/>
      <c r="J902" s="1360"/>
      <c r="K902" s="416"/>
    </row>
    <row r="903" spans="1:226" s="418" customFormat="1" ht="22.5">
      <c r="A903" s="1808" t="s">
        <v>431</v>
      </c>
      <c r="B903" s="1826" t="s">
        <v>500</v>
      </c>
      <c r="C903" s="1814">
        <v>600</v>
      </c>
      <c r="D903" s="1817" t="s">
        <v>482</v>
      </c>
      <c r="E903" s="1361" t="s">
        <v>322</v>
      </c>
      <c r="F903" s="1362">
        <f>SUM(F904,F911)</f>
        <v>13048915</v>
      </c>
      <c r="G903" s="1362">
        <f>SUM(G904,G911)</f>
        <v>3257684</v>
      </c>
      <c r="H903" s="1362">
        <f>SUM(H904,H911)</f>
        <v>9791231</v>
      </c>
      <c r="I903" s="1362">
        <f>SUM(I904,I911)</f>
        <v>0</v>
      </c>
      <c r="J903" s="1363">
        <f>SUM(J904,J911)</f>
        <v>0</v>
      </c>
      <c r="K903" s="416"/>
    </row>
    <row r="904" spans="1:226" s="418" customFormat="1" ht="13.5" customHeight="1">
      <c r="A904" s="1809"/>
      <c r="B904" s="1827"/>
      <c r="C904" s="1815"/>
      <c r="D904" s="1818"/>
      <c r="E904" s="1346" t="s">
        <v>323</v>
      </c>
      <c r="F904" s="1347">
        <f>SUM(F905,F908)</f>
        <v>0</v>
      </c>
      <c r="G904" s="1347">
        <f>SUM(G905,G908)</f>
        <v>0</v>
      </c>
      <c r="H904" s="1347">
        <f>SUM(H905,H908)</f>
        <v>0</v>
      </c>
      <c r="I904" s="1347">
        <f>SUM(I905,I908)</f>
        <v>0</v>
      </c>
      <c r="J904" s="1348">
        <f>SUM(J905,J908)</f>
        <v>0</v>
      </c>
      <c r="K904" s="416"/>
    </row>
    <row r="905" spans="1:226" s="418" customFormat="1" ht="24.95" hidden="1" customHeight="1">
      <c r="A905" s="1809"/>
      <c r="B905" s="1827"/>
      <c r="C905" s="1815"/>
      <c r="D905" s="1818"/>
      <c r="E905" s="1349" t="s">
        <v>335</v>
      </c>
      <c r="F905" s="1350">
        <f>SUM(F906:F907)</f>
        <v>0</v>
      </c>
      <c r="G905" s="1350">
        <f>SUM(G906:G907)</f>
        <v>0</v>
      </c>
      <c r="H905" s="1350">
        <f>SUM(H906:H907)</f>
        <v>0</v>
      </c>
      <c r="I905" s="1350">
        <f>SUM(I906:I907)</f>
        <v>0</v>
      </c>
      <c r="J905" s="1351">
        <f>SUM(J906:J907)</f>
        <v>0</v>
      </c>
      <c r="K905" s="416"/>
    </row>
    <row r="906" spans="1:226" s="418" customFormat="1" ht="15" hidden="1" customHeight="1">
      <c r="A906" s="1809"/>
      <c r="B906" s="1827"/>
      <c r="C906" s="1815"/>
      <c r="D906" s="1818"/>
      <c r="E906" s="1352"/>
      <c r="F906" s="1353">
        <f>SUM(G906:J906)</f>
        <v>0</v>
      </c>
      <c r="G906" s="1353"/>
      <c r="H906" s="1353"/>
      <c r="I906" s="1353"/>
      <c r="J906" s="1354"/>
      <c r="K906" s="416"/>
    </row>
    <row r="907" spans="1:226" s="418" customFormat="1" ht="15" hidden="1" customHeight="1">
      <c r="A907" s="1809"/>
      <c r="B907" s="1827"/>
      <c r="C907" s="1815"/>
      <c r="D907" s="1818"/>
      <c r="E907" s="1352"/>
      <c r="F907" s="1353">
        <f>SUM(G907:J907)</f>
        <v>0</v>
      </c>
      <c r="G907" s="1353"/>
      <c r="H907" s="1353"/>
      <c r="I907" s="1353"/>
      <c r="J907" s="1354"/>
      <c r="K907" s="416"/>
    </row>
    <row r="908" spans="1:226" s="418" customFormat="1" ht="24.95" hidden="1" customHeight="1">
      <c r="A908" s="1809"/>
      <c r="B908" s="1827"/>
      <c r="C908" s="1815"/>
      <c r="D908" s="1818"/>
      <c r="E908" s="1349" t="s">
        <v>340</v>
      </c>
      <c r="F908" s="1350">
        <f>SUM(F909:F910)</f>
        <v>0</v>
      </c>
      <c r="G908" s="1350">
        <f>SUM(G909:G910)</f>
        <v>0</v>
      </c>
      <c r="H908" s="1350">
        <f>SUM(H909:H910)</f>
        <v>0</v>
      </c>
      <c r="I908" s="1350">
        <f>SUM(I909:I910)</f>
        <v>0</v>
      </c>
      <c r="J908" s="1351">
        <f>SUM(J909:J910)</f>
        <v>0</v>
      </c>
      <c r="K908" s="416"/>
    </row>
    <row r="909" spans="1:226" s="418" customFormat="1" ht="15" hidden="1" customHeight="1">
      <c r="A909" s="1809"/>
      <c r="B909" s="1827"/>
      <c r="C909" s="1815"/>
      <c r="D909" s="1818"/>
      <c r="E909" s="1352"/>
      <c r="F909" s="1353">
        <f>SUM(G909:J909)</f>
        <v>0</v>
      </c>
      <c r="G909" s="1353"/>
      <c r="H909" s="1353"/>
      <c r="I909" s="1353"/>
      <c r="J909" s="1354"/>
      <c r="K909" s="416"/>
    </row>
    <row r="910" spans="1:226" s="418" customFormat="1" ht="15" hidden="1" customHeight="1">
      <c r="A910" s="1809"/>
      <c r="B910" s="1827"/>
      <c r="C910" s="1815"/>
      <c r="D910" s="1818"/>
      <c r="E910" s="1352"/>
      <c r="F910" s="1353">
        <f>SUM(G910:J910)</f>
        <v>0</v>
      </c>
      <c r="G910" s="1353"/>
      <c r="H910" s="1353"/>
      <c r="I910" s="1353"/>
      <c r="J910" s="1354"/>
      <c r="K910" s="416"/>
    </row>
    <row r="911" spans="1:226" s="418" customFormat="1" ht="13.5" customHeight="1">
      <c r="A911" s="1809"/>
      <c r="B911" s="1827"/>
      <c r="C911" s="1815"/>
      <c r="D911" s="1818"/>
      <c r="E911" s="1355" t="s">
        <v>324</v>
      </c>
      <c r="F911" s="1347">
        <f>SUM(F912:F917)</f>
        <v>13048915</v>
      </c>
      <c r="G911" s="1347">
        <f>SUM(G912:G917)</f>
        <v>3257684</v>
      </c>
      <c r="H911" s="1347">
        <f>SUM(H912:H917)</f>
        <v>9791231</v>
      </c>
      <c r="I911" s="1347">
        <f>SUM(I912:I917)</f>
        <v>0</v>
      </c>
      <c r="J911" s="1348">
        <f>SUM(J912:J917)</f>
        <v>0</v>
      </c>
      <c r="K911" s="416"/>
      <c r="L911" s="416"/>
      <c r="M911" s="416"/>
      <c r="N911" s="416"/>
      <c r="O911" s="416"/>
      <c r="P911" s="416"/>
      <c r="Q911" s="416"/>
      <c r="R911" s="416"/>
      <c r="S911" s="416"/>
      <c r="T911" s="416"/>
      <c r="U911" s="416"/>
      <c r="V911" s="416"/>
      <c r="W911" s="416"/>
      <c r="X911" s="416"/>
      <c r="Y911" s="416"/>
      <c r="Z911" s="416"/>
      <c r="AA911" s="416"/>
      <c r="AB911" s="416"/>
      <c r="AC911" s="416"/>
      <c r="AD911" s="416"/>
      <c r="AE911" s="416"/>
      <c r="AF911" s="416"/>
      <c r="AG911" s="416"/>
      <c r="AH911" s="416"/>
      <c r="AI911" s="416"/>
      <c r="AJ911" s="416"/>
      <c r="AK911" s="416"/>
      <c r="AL911" s="416"/>
      <c r="AM911" s="416"/>
      <c r="AN911" s="416"/>
      <c r="AO911" s="416"/>
      <c r="AP911" s="416"/>
      <c r="AQ911" s="416"/>
      <c r="AR911" s="416"/>
      <c r="AS911" s="416"/>
      <c r="AT911" s="416"/>
      <c r="AU911" s="416"/>
      <c r="AV911" s="416"/>
      <c r="AW911" s="416"/>
      <c r="AX911" s="416"/>
      <c r="AY911" s="416"/>
      <c r="AZ911" s="416"/>
      <c r="BA911" s="416"/>
      <c r="BB911" s="416"/>
      <c r="BC911" s="416"/>
      <c r="BD911" s="416"/>
      <c r="BE911" s="416"/>
      <c r="BF911" s="416"/>
      <c r="BG911" s="416"/>
      <c r="BH911" s="416"/>
      <c r="BI911" s="416"/>
      <c r="BJ911" s="416"/>
      <c r="BK911" s="416"/>
      <c r="BL911" s="416"/>
      <c r="BM911" s="416"/>
      <c r="BN911" s="416"/>
      <c r="BO911" s="416"/>
      <c r="BP911" s="416"/>
      <c r="BQ911" s="416"/>
      <c r="BR911" s="416"/>
      <c r="BS911" s="416"/>
      <c r="BT911" s="416"/>
      <c r="BU911" s="416"/>
      <c r="BV911" s="416"/>
      <c r="BW911" s="416"/>
      <c r="BX911" s="416"/>
      <c r="BY911" s="416"/>
      <c r="BZ911" s="416"/>
      <c r="CA911" s="416"/>
      <c r="CB911" s="416"/>
      <c r="CC911" s="416"/>
      <c r="CD911" s="416"/>
      <c r="CE911" s="416"/>
      <c r="CF911" s="416"/>
      <c r="CG911" s="416"/>
      <c r="CH911" s="416"/>
      <c r="CI911" s="416"/>
      <c r="CJ911" s="416"/>
      <c r="CK911" s="416"/>
      <c r="CL911" s="416"/>
      <c r="CM911" s="416"/>
      <c r="CN911" s="416"/>
      <c r="CO911" s="416"/>
      <c r="CP911" s="416"/>
      <c r="CQ911" s="416"/>
      <c r="CR911" s="416"/>
      <c r="CS911" s="416"/>
      <c r="CT911" s="416"/>
      <c r="CU911" s="416"/>
      <c r="CV911" s="416"/>
      <c r="CW911" s="416"/>
      <c r="CX911" s="416"/>
      <c r="CY911" s="416"/>
      <c r="CZ911" s="416"/>
      <c r="DA911" s="416"/>
      <c r="DB911" s="416"/>
      <c r="DC911" s="416"/>
      <c r="DD911" s="416"/>
      <c r="DE911" s="416"/>
      <c r="DF911" s="416"/>
      <c r="DG911" s="416"/>
      <c r="DH911" s="416"/>
      <c r="DI911" s="416"/>
      <c r="DJ911" s="416"/>
      <c r="DK911" s="416"/>
      <c r="DL911" s="416"/>
      <c r="DM911" s="416"/>
      <c r="DN911" s="416"/>
      <c r="DO911" s="416"/>
      <c r="DP911" s="416"/>
      <c r="DQ911" s="416"/>
      <c r="DR911" s="416"/>
      <c r="DS911" s="416"/>
      <c r="DT911" s="416"/>
      <c r="DU911" s="416"/>
      <c r="DV911" s="416"/>
      <c r="DW911" s="416"/>
      <c r="DX911" s="416"/>
      <c r="DY911" s="416"/>
      <c r="DZ911" s="416"/>
      <c r="EA911" s="416"/>
      <c r="EB911" s="416"/>
      <c r="EC911" s="416"/>
      <c r="ED911" s="416"/>
      <c r="EE911" s="416"/>
      <c r="EF911" s="416"/>
      <c r="EG911" s="416"/>
      <c r="EH911" s="416"/>
      <c r="EI911" s="416"/>
      <c r="EJ911" s="416"/>
      <c r="EK911" s="416"/>
      <c r="EL911" s="416"/>
      <c r="EM911" s="416"/>
      <c r="EN911" s="416"/>
      <c r="EO911" s="416"/>
      <c r="EP911" s="416"/>
      <c r="EQ911" s="416"/>
      <c r="ER911" s="416"/>
      <c r="ES911" s="416"/>
      <c r="ET911" s="416"/>
      <c r="EU911" s="416"/>
      <c r="EV911" s="416"/>
      <c r="EW911" s="416"/>
      <c r="EX911" s="416"/>
      <c r="EY911" s="416"/>
      <c r="EZ911" s="416"/>
      <c r="FA911" s="416"/>
      <c r="FB911" s="416"/>
      <c r="FC911" s="416"/>
      <c r="FD911" s="416"/>
      <c r="FE911" s="416"/>
      <c r="FF911" s="416"/>
      <c r="FG911" s="416"/>
      <c r="FH911" s="416"/>
      <c r="FI911" s="416"/>
      <c r="FJ911" s="416"/>
      <c r="FK911" s="416"/>
      <c r="FL911" s="416"/>
      <c r="FM911" s="416"/>
      <c r="FN911" s="416"/>
      <c r="FO911" s="416"/>
      <c r="FP911" s="416"/>
      <c r="FQ911" s="416"/>
      <c r="FR911" s="416"/>
      <c r="FS911" s="416"/>
      <c r="FT911" s="416"/>
      <c r="FU911" s="416"/>
      <c r="FV911" s="416"/>
      <c r="FW911" s="416"/>
      <c r="FX911" s="416"/>
      <c r="FY911" s="416"/>
      <c r="FZ911" s="416"/>
      <c r="GA911" s="416"/>
      <c r="GB911" s="416"/>
      <c r="GC911" s="416"/>
      <c r="GD911" s="416"/>
      <c r="GE911" s="416"/>
      <c r="GF911" s="416"/>
      <c r="GG911" s="416"/>
      <c r="GH911" s="416"/>
      <c r="GI911" s="416"/>
      <c r="GJ911" s="416"/>
      <c r="GK911" s="416"/>
      <c r="GL911" s="416"/>
      <c r="GM911" s="416"/>
      <c r="GN911" s="416"/>
      <c r="GO911" s="416"/>
      <c r="GP911" s="416"/>
      <c r="GQ911" s="416"/>
      <c r="GR911" s="416"/>
      <c r="GS911" s="416"/>
      <c r="GT911" s="416"/>
      <c r="GU911" s="416"/>
      <c r="GV911" s="416"/>
      <c r="GW911" s="416"/>
      <c r="GX911" s="416"/>
      <c r="GY911" s="416"/>
      <c r="GZ911" s="416"/>
      <c r="HA911" s="416"/>
      <c r="HB911" s="416"/>
      <c r="HC911" s="416"/>
      <c r="HD911" s="416"/>
      <c r="HE911" s="416"/>
      <c r="HF911" s="416"/>
      <c r="HG911" s="416"/>
      <c r="HH911" s="416"/>
      <c r="HI911" s="416"/>
      <c r="HJ911" s="416"/>
      <c r="HK911" s="416"/>
      <c r="HL911" s="416"/>
      <c r="HM911" s="416"/>
      <c r="HN911" s="416"/>
      <c r="HO911" s="416"/>
      <c r="HP911" s="416"/>
      <c r="HQ911" s="416"/>
      <c r="HR911" s="416"/>
    </row>
    <row r="912" spans="1:226" s="418" customFormat="1" ht="15" customHeight="1">
      <c r="A912" s="1809"/>
      <c r="B912" s="1827"/>
      <c r="C912" s="1815"/>
      <c r="D912" s="1818"/>
      <c r="E912" s="1352" t="s">
        <v>405</v>
      </c>
      <c r="F912" s="1353">
        <f t="shared" ref="F912:F917" si="83">SUM(G912:J912)</f>
        <v>200000</v>
      </c>
      <c r="G912" s="1353">
        <v>200000</v>
      </c>
      <c r="H912" s="1353"/>
      <c r="I912" s="1353"/>
      <c r="J912" s="1354"/>
      <c r="K912" s="416"/>
    </row>
    <row r="913" spans="1:226" s="418" customFormat="1" ht="15" customHeight="1">
      <c r="A913" s="1809"/>
      <c r="B913" s="1827"/>
      <c r="C913" s="1815"/>
      <c r="D913" s="1818"/>
      <c r="E913" s="1358">
        <v>6057</v>
      </c>
      <c r="F913" s="1359">
        <f t="shared" si="83"/>
        <v>8796578</v>
      </c>
      <c r="G913" s="1359"/>
      <c r="H913" s="1359">
        <v>8796578</v>
      </c>
      <c r="I913" s="1359"/>
      <c r="J913" s="1360"/>
      <c r="K913" s="416"/>
    </row>
    <row r="914" spans="1:226" s="418" customFormat="1" ht="15" customHeight="1">
      <c r="A914" s="1809"/>
      <c r="B914" s="1827"/>
      <c r="C914" s="1815"/>
      <c r="D914" s="1818"/>
      <c r="E914" s="1358">
        <v>6059</v>
      </c>
      <c r="F914" s="1359">
        <f t="shared" si="83"/>
        <v>1552337</v>
      </c>
      <c r="G914" s="1359">
        <v>1552337</v>
      </c>
      <c r="H914" s="1359"/>
      <c r="I914" s="1359"/>
      <c r="J914" s="1360"/>
      <c r="K914" s="416"/>
    </row>
    <row r="915" spans="1:226" s="418" customFormat="1" ht="15" customHeight="1">
      <c r="A915" s="1809"/>
      <c r="B915" s="1827"/>
      <c r="C915" s="1815"/>
      <c r="D915" s="1818"/>
      <c r="E915" s="1358">
        <v>6060</v>
      </c>
      <c r="F915" s="1359">
        <f t="shared" si="83"/>
        <v>1329820</v>
      </c>
      <c r="G915" s="1359">
        <v>1329820</v>
      </c>
      <c r="H915" s="1359"/>
      <c r="I915" s="1359"/>
      <c r="J915" s="1360"/>
      <c r="K915" s="416"/>
    </row>
    <row r="916" spans="1:226" s="418" customFormat="1" ht="15" customHeight="1">
      <c r="A916" s="1809"/>
      <c r="B916" s="1827"/>
      <c r="C916" s="1815"/>
      <c r="D916" s="1818"/>
      <c r="E916" s="1384" t="s">
        <v>397</v>
      </c>
      <c r="F916" s="1359">
        <f t="shared" si="83"/>
        <v>994653</v>
      </c>
      <c r="G916" s="1359"/>
      <c r="H916" s="1359">
        <v>994653</v>
      </c>
      <c r="I916" s="1359"/>
      <c r="J916" s="1360"/>
      <c r="K916" s="416"/>
    </row>
    <row r="917" spans="1:226" s="418" customFormat="1" ht="15" customHeight="1" thickBot="1">
      <c r="A917" s="1810"/>
      <c r="B917" s="1828"/>
      <c r="C917" s="1816"/>
      <c r="D917" s="1819"/>
      <c r="E917" s="1356">
        <v>6069</v>
      </c>
      <c r="F917" s="1357">
        <f t="shared" si="83"/>
        <v>175527</v>
      </c>
      <c r="G917" s="1357">
        <v>175527</v>
      </c>
      <c r="H917" s="1357"/>
      <c r="I917" s="1357"/>
      <c r="J917" s="1373"/>
      <c r="K917" s="416"/>
    </row>
    <row r="918" spans="1:226" s="418" customFormat="1" ht="22.5">
      <c r="A918" s="1808" t="s">
        <v>444</v>
      </c>
      <c r="B918" s="1826" t="s">
        <v>501</v>
      </c>
      <c r="C918" s="1814">
        <v>600</v>
      </c>
      <c r="D918" s="1817" t="s">
        <v>482</v>
      </c>
      <c r="E918" s="1361" t="s">
        <v>322</v>
      </c>
      <c r="F918" s="1362">
        <f>SUM(F919,F926)</f>
        <v>7775023</v>
      </c>
      <c r="G918" s="1362">
        <f>SUM(G919,G926)</f>
        <v>1846254</v>
      </c>
      <c r="H918" s="1362">
        <f>SUM(H919,H926)</f>
        <v>5928769</v>
      </c>
      <c r="I918" s="1362">
        <f>SUM(I919,I926)</f>
        <v>0</v>
      </c>
      <c r="J918" s="1363">
        <f>SUM(J919,J926)</f>
        <v>0</v>
      </c>
      <c r="K918" s="416"/>
    </row>
    <row r="919" spans="1:226" s="418" customFormat="1" ht="12">
      <c r="A919" s="1809"/>
      <c r="B919" s="1827"/>
      <c r="C919" s="1815"/>
      <c r="D919" s="1818"/>
      <c r="E919" s="1346" t="s">
        <v>323</v>
      </c>
      <c r="F919" s="1347">
        <f>SUM(F920,F923)</f>
        <v>0</v>
      </c>
      <c r="G919" s="1347">
        <f>SUM(G920,G923)</f>
        <v>0</v>
      </c>
      <c r="H919" s="1347">
        <f>SUM(H920,H923)</f>
        <v>0</v>
      </c>
      <c r="I919" s="1347">
        <f>SUM(I920,I923)</f>
        <v>0</v>
      </c>
      <c r="J919" s="1348">
        <f>SUM(J920,J923)</f>
        <v>0</v>
      </c>
      <c r="K919" s="416"/>
    </row>
    <row r="920" spans="1:226" s="418" customFormat="1" ht="24.95" hidden="1" customHeight="1">
      <c r="A920" s="1809"/>
      <c r="B920" s="1827"/>
      <c r="C920" s="1815"/>
      <c r="D920" s="1818"/>
      <c r="E920" s="1349" t="s">
        <v>335</v>
      </c>
      <c r="F920" s="1350">
        <f>SUM(F921:F922)</f>
        <v>0</v>
      </c>
      <c r="G920" s="1350">
        <f>SUM(G921:G922)</f>
        <v>0</v>
      </c>
      <c r="H920" s="1350">
        <f>SUM(H921:H922)</f>
        <v>0</v>
      </c>
      <c r="I920" s="1350">
        <f>SUM(I921:I922)</f>
        <v>0</v>
      </c>
      <c r="J920" s="1351">
        <f>SUM(J921:J922)</f>
        <v>0</v>
      </c>
      <c r="K920" s="416"/>
    </row>
    <row r="921" spans="1:226" s="418" customFormat="1" ht="15" hidden="1" customHeight="1">
      <c r="A921" s="1809"/>
      <c r="B921" s="1827"/>
      <c r="C921" s="1815"/>
      <c r="D921" s="1818"/>
      <c r="E921" s="1352"/>
      <c r="F921" s="1353">
        <f>SUM(G921:J921)</f>
        <v>0</v>
      </c>
      <c r="G921" s="1353"/>
      <c r="H921" s="1353"/>
      <c r="I921" s="1353"/>
      <c r="J921" s="1354"/>
      <c r="K921" s="416"/>
    </row>
    <row r="922" spans="1:226" s="418" customFormat="1" ht="15" hidden="1" customHeight="1">
      <c r="A922" s="1809"/>
      <c r="B922" s="1827"/>
      <c r="C922" s="1815"/>
      <c r="D922" s="1818"/>
      <c r="E922" s="1352"/>
      <c r="F922" s="1353">
        <f>SUM(G922:J922)</f>
        <v>0</v>
      </c>
      <c r="G922" s="1353"/>
      <c r="H922" s="1353"/>
      <c r="I922" s="1353"/>
      <c r="J922" s="1354"/>
      <c r="K922" s="416"/>
    </row>
    <row r="923" spans="1:226" s="418" customFormat="1" ht="24.95" hidden="1" customHeight="1">
      <c r="A923" s="1809"/>
      <c r="B923" s="1827"/>
      <c r="C923" s="1815"/>
      <c r="D923" s="1818"/>
      <c r="E923" s="1349" t="s">
        <v>340</v>
      </c>
      <c r="F923" s="1350">
        <f>SUM(F924:F925)</f>
        <v>0</v>
      </c>
      <c r="G923" s="1350">
        <f>SUM(G924:G925)</f>
        <v>0</v>
      </c>
      <c r="H923" s="1350">
        <f>SUM(H924:H925)</f>
        <v>0</v>
      </c>
      <c r="I923" s="1350">
        <f>SUM(I924:I925)</f>
        <v>0</v>
      </c>
      <c r="J923" s="1351">
        <f>SUM(J924:J925)</f>
        <v>0</v>
      </c>
      <c r="K923" s="416"/>
    </row>
    <row r="924" spans="1:226" s="418" customFormat="1" ht="15" hidden="1" customHeight="1">
      <c r="A924" s="1809"/>
      <c r="B924" s="1827"/>
      <c r="C924" s="1815"/>
      <c r="D924" s="1818"/>
      <c r="E924" s="1352"/>
      <c r="F924" s="1353">
        <f>SUM(G924:J924)</f>
        <v>0</v>
      </c>
      <c r="G924" s="1353"/>
      <c r="H924" s="1353"/>
      <c r="I924" s="1353"/>
      <c r="J924" s="1354"/>
      <c r="K924" s="416"/>
    </row>
    <row r="925" spans="1:226" s="418" customFormat="1" ht="15" hidden="1" customHeight="1">
      <c r="A925" s="1809"/>
      <c r="B925" s="1827"/>
      <c r="C925" s="1815"/>
      <c r="D925" s="1818"/>
      <c r="E925" s="1352"/>
      <c r="F925" s="1353">
        <f>SUM(G925:J925)</f>
        <v>0</v>
      </c>
      <c r="G925" s="1353"/>
      <c r="H925" s="1353"/>
      <c r="I925" s="1353"/>
      <c r="J925" s="1354"/>
      <c r="K925" s="416"/>
    </row>
    <row r="926" spans="1:226" s="418" customFormat="1" ht="12">
      <c r="A926" s="1809"/>
      <c r="B926" s="1827"/>
      <c r="C926" s="1815"/>
      <c r="D926" s="1818"/>
      <c r="E926" s="1355" t="s">
        <v>324</v>
      </c>
      <c r="F926" s="1347">
        <f>SUM(F927:F932)</f>
        <v>7775023</v>
      </c>
      <c r="G926" s="1347">
        <f>SUM(G927:G932)</f>
        <v>1846254</v>
      </c>
      <c r="H926" s="1347">
        <f>SUM(H927:H932)</f>
        <v>5928769</v>
      </c>
      <c r="I926" s="1347">
        <f>SUM(I927:I932)</f>
        <v>0</v>
      </c>
      <c r="J926" s="1348">
        <f>SUM(J927:J932)</f>
        <v>0</v>
      </c>
      <c r="K926" s="416"/>
      <c r="L926" s="416"/>
      <c r="M926" s="416"/>
      <c r="N926" s="416"/>
      <c r="O926" s="416"/>
      <c r="P926" s="416"/>
      <c r="Q926" s="416"/>
      <c r="R926" s="416"/>
      <c r="S926" s="416"/>
      <c r="T926" s="416"/>
      <c r="U926" s="416"/>
      <c r="V926" s="416"/>
      <c r="W926" s="416"/>
      <c r="X926" s="416"/>
      <c r="Y926" s="416"/>
      <c r="Z926" s="416"/>
      <c r="AA926" s="416"/>
      <c r="AB926" s="416"/>
      <c r="AC926" s="416"/>
      <c r="AD926" s="416"/>
      <c r="AE926" s="416"/>
      <c r="AF926" s="416"/>
      <c r="AG926" s="416"/>
      <c r="AH926" s="416"/>
      <c r="AI926" s="416"/>
      <c r="AJ926" s="416"/>
      <c r="AK926" s="416"/>
      <c r="AL926" s="416"/>
      <c r="AM926" s="416"/>
      <c r="AN926" s="416"/>
      <c r="AO926" s="416"/>
      <c r="AP926" s="416"/>
      <c r="AQ926" s="416"/>
      <c r="AR926" s="416"/>
      <c r="AS926" s="416"/>
      <c r="AT926" s="416"/>
      <c r="AU926" s="416"/>
      <c r="AV926" s="416"/>
      <c r="AW926" s="416"/>
      <c r="AX926" s="416"/>
      <c r="AY926" s="416"/>
      <c r="AZ926" s="416"/>
      <c r="BA926" s="416"/>
      <c r="BB926" s="416"/>
      <c r="BC926" s="416"/>
      <c r="BD926" s="416"/>
      <c r="BE926" s="416"/>
      <c r="BF926" s="416"/>
      <c r="BG926" s="416"/>
      <c r="BH926" s="416"/>
      <c r="BI926" s="416"/>
      <c r="BJ926" s="416"/>
      <c r="BK926" s="416"/>
      <c r="BL926" s="416"/>
      <c r="BM926" s="416"/>
      <c r="BN926" s="416"/>
      <c r="BO926" s="416"/>
      <c r="BP926" s="416"/>
      <c r="BQ926" s="416"/>
      <c r="BR926" s="416"/>
      <c r="BS926" s="416"/>
      <c r="BT926" s="416"/>
      <c r="BU926" s="416"/>
      <c r="BV926" s="416"/>
      <c r="BW926" s="416"/>
      <c r="BX926" s="416"/>
      <c r="BY926" s="416"/>
      <c r="BZ926" s="416"/>
      <c r="CA926" s="416"/>
      <c r="CB926" s="416"/>
      <c r="CC926" s="416"/>
      <c r="CD926" s="416"/>
      <c r="CE926" s="416"/>
      <c r="CF926" s="416"/>
      <c r="CG926" s="416"/>
      <c r="CH926" s="416"/>
      <c r="CI926" s="416"/>
      <c r="CJ926" s="416"/>
      <c r="CK926" s="416"/>
      <c r="CL926" s="416"/>
      <c r="CM926" s="416"/>
      <c r="CN926" s="416"/>
      <c r="CO926" s="416"/>
      <c r="CP926" s="416"/>
      <c r="CQ926" s="416"/>
      <c r="CR926" s="416"/>
      <c r="CS926" s="416"/>
      <c r="CT926" s="416"/>
      <c r="CU926" s="416"/>
      <c r="CV926" s="416"/>
      <c r="CW926" s="416"/>
      <c r="CX926" s="416"/>
      <c r="CY926" s="416"/>
      <c r="CZ926" s="416"/>
      <c r="DA926" s="416"/>
      <c r="DB926" s="416"/>
      <c r="DC926" s="416"/>
      <c r="DD926" s="416"/>
      <c r="DE926" s="416"/>
      <c r="DF926" s="416"/>
      <c r="DG926" s="416"/>
      <c r="DH926" s="416"/>
      <c r="DI926" s="416"/>
      <c r="DJ926" s="416"/>
      <c r="DK926" s="416"/>
      <c r="DL926" s="416"/>
      <c r="DM926" s="416"/>
      <c r="DN926" s="416"/>
      <c r="DO926" s="416"/>
      <c r="DP926" s="416"/>
      <c r="DQ926" s="416"/>
      <c r="DR926" s="416"/>
      <c r="DS926" s="416"/>
      <c r="DT926" s="416"/>
      <c r="DU926" s="416"/>
      <c r="DV926" s="416"/>
      <c r="DW926" s="416"/>
      <c r="DX926" s="416"/>
      <c r="DY926" s="416"/>
      <c r="DZ926" s="416"/>
      <c r="EA926" s="416"/>
      <c r="EB926" s="416"/>
      <c r="EC926" s="416"/>
      <c r="ED926" s="416"/>
      <c r="EE926" s="416"/>
      <c r="EF926" s="416"/>
      <c r="EG926" s="416"/>
      <c r="EH926" s="416"/>
      <c r="EI926" s="416"/>
      <c r="EJ926" s="416"/>
      <c r="EK926" s="416"/>
      <c r="EL926" s="416"/>
      <c r="EM926" s="416"/>
      <c r="EN926" s="416"/>
      <c r="EO926" s="416"/>
      <c r="EP926" s="416"/>
      <c r="EQ926" s="416"/>
      <c r="ER926" s="416"/>
      <c r="ES926" s="416"/>
      <c r="ET926" s="416"/>
      <c r="EU926" s="416"/>
      <c r="EV926" s="416"/>
      <c r="EW926" s="416"/>
      <c r="EX926" s="416"/>
      <c r="EY926" s="416"/>
      <c r="EZ926" s="416"/>
      <c r="FA926" s="416"/>
      <c r="FB926" s="416"/>
      <c r="FC926" s="416"/>
      <c r="FD926" s="416"/>
      <c r="FE926" s="416"/>
      <c r="FF926" s="416"/>
      <c r="FG926" s="416"/>
      <c r="FH926" s="416"/>
      <c r="FI926" s="416"/>
      <c r="FJ926" s="416"/>
      <c r="FK926" s="416"/>
      <c r="FL926" s="416"/>
      <c r="FM926" s="416"/>
      <c r="FN926" s="416"/>
      <c r="FO926" s="416"/>
      <c r="FP926" s="416"/>
      <c r="FQ926" s="416"/>
      <c r="FR926" s="416"/>
      <c r="FS926" s="416"/>
      <c r="FT926" s="416"/>
      <c r="FU926" s="416"/>
      <c r="FV926" s="416"/>
      <c r="FW926" s="416"/>
      <c r="FX926" s="416"/>
      <c r="FY926" s="416"/>
      <c r="FZ926" s="416"/>
      <c r="GA926" s="416"/>
      <c r="GB926" s="416"/>
      <c r="GC926" s="416"/>
      <c r="GD926" s="416"/>
      <c r="GE926" s="416"/>
      <c r="GF926" s="416"/>
      <c r="GG926" s="416"/>
      <c r="GH926" s="416"/>
      <c r="GI926" s="416"/>
      <c r="GJ926" s="416"/>
      <c r="GK926" s="416"/>
      <c r="GL926" s="416"/>
      <c r="GM926" s="416"/>
      <c r="GN926" s="416"/>
      <c r="GO926" s="416"/>
      <c r="GP926" s="416"/>
      <c r="GQ926" s="416"/>
      <c r="GR926" s="416"/>
      <c r="GS926" s="416"/>
      <c r="GT926" s="416"/>
      <c r="GU926" s="416"/>
      <c r="GV926" s="416"/>
      <c r="GW926" s="416"/>
      <c r="GX926" s="416"/>
      <c r="GY926" s="416"/>
      <c r="GZ926" s="416"/>
      <c r="HA926" s="416"/>
      <c r="HB926" s="416"/>
      <c r="HC926" s="416"/>
      <c r="HD926" s="416"/>
      <c r="HE926" s="416"/>
      <c r="HF926" s="416"/>
      <c r="HG926" s="416"/>
      <c r="HH926" s="416"/>
      <c r="HI926" s="416"/>
      <c r="HJ926" s="416"/>
      <c r="HK926" s="416"/>
      <c r="HL926" s="416"/>
      <c r="HM926" s="416"/>
      <c r="HN926" s="416"/>
      <c r="HO926" s="416"/>
      <c r="HP926" s="416"/>
      <c r="HQ926" s="416"/>
      <c r="HR926" s="416"/>
    </row>
    <row r="927" spans="1:226" s="418" customFormat="1" ht="15" customHeight="1">
      <c r="A927" s="1809"/>
      <c r="B927" s="1827"/>
      <c r="C927" s="1815"/>
      <c r="D927" s="1818"/>
      <c r="E927" s="1352" t="s">
        <v>405</v>
      </c>
      <c r="F927" s="1353">
        <f t="shared" ref="F927:F932" si="84">SUM(G927:J927)</f>
        <v>200000</v>
      </c>
      <c r="G927" s="1353">
        <v>200000</v>
      </c>
      <c r="H927" s="1353"/>
      <c r="I927" s="1353"/>
      <c r="J927" s="1354"/>
      <c r="K927" s="416"/>
    </row>
    <row r="928" spans="1:226" s="418" customFormat="1" ht="15" customHeight="1">
      <c r="A928" s="1809"/>
      <c r="B928" s="1827"/>
      <c r="C928" s="1815"/>
      <c r="D928" s="1818"/>
      <c r="E928" s="1358">
        <v>6057</v>
      </c>
      <c r="F928" s="1359">
        <f t="shared" si="84"/>
        <v>5928769</v>
      </c>
      <c r="G928" s="1359"/>
      <c r="H928" s="1359">
        <v>5928769</v>
      </c>
      <c r="I928" s="1359"/>
      <c r="J928" s="1360"/>
      <c r="K928" s="416"/>
    </row>
    <row r="929" spans="1:226" s="418" customFormat="1" ht="15" customHeight="1">
      <c r="A929" s="1809"/>
      <c r="B929" s="1827"/>
      <c r="C929" s="1815"/>
      <c r="D929" s="1818"/>
      <c r="E929" s="1358">
        <v>6059</v>
      </c>
      <c r="F929" s="1359">
        <f t="shared" si="84"/>
        <v>1046254</v>
      </c>
      <c r="G929" s="1359">
        <v>1046254</v>
      </c>
      <c r="H929" s="1359"/>
      <c r="I929" s="1359"/>
      <c r="J929" s="1360"/>
      <c r="K929" s="416"/>
    </row>
    <row r="930" spans="1:226" s="418" customFormat="1" ht="15" customHeight="1" thickBot="1">
      <c r="A930" s="1809"/>
      <c r="B930" s="1827"/>
      <c r="C930" s="1815"/>
      <c r="D930" s="1818"/>
      <c r="E930" s="1358">
        <v>6060</v>
      </c>
      <c r="F930" s="1359">
        <f t="shared" si="84"/>
        <v>600000</v>
      </c>
      <c r="G930" s="1359">
        <v>600000</v>
      </c>
      <c r="H930" s="1359"/>
      <c r="I930" s="1359"/>
      <c r="J930" s="1360"/>
      <c r="K930" s="416"/>
    </row>
    <row r="931" spans="1:226" s="418" customFormat="1" ht="15" hidden="1" customHeight="1">
      <c r="A931" s="1809"/>
      <c r="B931" s="1827"/>
      <c r="C931" s="1815"/>
      <c r="D931" s="1818"/>
      <c r="E931" s="1384" t="s">
        <v>397</v>
      </c>
      <c r="F931" s="1359">
        <f t="shared" si="84"/>
        <v>0</v>
      </c>
      <c r="G931" s="1359"/>
      <c r="H931" s="1359"/>
      <c r="I931" s="1359"/>
      <c r="J931" s="1360"/>
      <c r="K931" s="416"/>
    </row>
    <row r="932" spans="1:226" s="418" customFormat="1" ht="15" hidden="1" customHeight="1">
      <c r="A932" s="1810"/>
      <c r="B932" s="1828"/>
      <c r="C932" s="1816"/>
      <c r="D932" s="1819"/>
      <c r="E932" s="1356">
        <v>6069</v>
      </c>
      <c r="F932" s="1357">
        <f t="shared" si="84"/>
        <v>0</v>
      </c>
      <c r="G932" s="1357"/>
      <c r="H932" s="1357"/>
      <c r="I932" s="1357"/>
      <c r="J932" s="1373"/>
      <c r="K932" s="416"/>
    </row>
    <row r="933" spans="1:226" s="418" customFormat="1" ht="22.5">
      <c r="A933" s="1808" t="s">
        <v>448</v>
      </c>
      <c r="B933" s="1826" t="s">
        <v>502</v>
      </c>
      <c r="C933" s="1814">
        <v>600</v>
      </c>
      <c r="D933" s="1817" t="s">
        <v>482</v>
      </c>
      <c r="E933" s="1361" t="s">
        <v>322</v>
      </c>
      <c r="F933" s="1362">
        <f>SUM(F934,F941)</f>
        <v>16000000</v>
      </c>
      <c r="G933" s="1362">
        <f>SUM(G934,G941)</f>
        <v>2400000</v>
      </c>
      <c r="H933" s="1362">
        <f>SUM(H934,H941)</f>
        <v>13600000</v>
      </c>
      <c r="I933" s="1362">
        <f>SUM(I934,I941)</f>
        <v>0</v>
      </c>
      <c r="J933" s="1363">
        <f>SUM(J934,J941)</f>
        <v>0</v>
      </c>
      <c r="K933" s="416"/>
    </row>
    <row r="934" spans="1:226" s="418" customFormat="1" ht="12">
      <c r="A934" s="1809"/>
      <c r="B934" s="1827"/>
      <c r="C934" s="1815"/>
      <c r="D934" s="1818"/>
      <c r="E934" s="1346" t="s">
        <v>323</v>
      </c>
      <c r="F934" s="1347">
        <f>SUM(F935,F938)</f>
        <v>0</v>
      </c>
      <c r="G934" s="1347">
        <f>SUM(G935,G938)</f>
        <v>0</v>
      </c>
      <c r="H934" s="1347">
        <f>SUM(H935,H938)</f>
        <v>0</v>
      </c>
      <c r="I934" s="1347">
        <f>SUM(I935,I938)</f>
        <v>0</v>
      </c>
      <c r="J934" s="1348">
        <f>SUM(J935,J938)</f>
        <v>0</v>
      </c>
      <c r="K934" s="416"/>
    </row>
    <row r="935" spans="1:226" s="418" customFormat="1" ht="24.95" hidden="1" customHeight="1">
      <c r="A935" s="1809"/>
      <c r="B935" s="1827"/>
      <c r="C935" s="1815"/>
      <c r="D935" s="1818"/>
      <c r="E935" s="1349" t="s">
        <v>335</v>
      </c>
      <c r="F935" s="1350">
        <f>SUM(F936:F937)</f>
        <v>0</v>
      </c>
      <c r="G935" s="1350">
        <f>SUM(G936:G937)</f>
        <v>0</v>
      </c>
      <c r="H935" s="1350">
        <f>SUM(H936:H937)</f>
        <v>0</v>
      </c>
      <c r="I935" s="1350">
        <f>SUM(I936:I937)</f>
        <v>0</v>
      </c>
      <c r="J935" s="1351">
        <f>SUM(J936:J937)</f>
        <v>0</v>
      </c>
      <c r="K935" s="416"/>
    </row>
    <row r="936" spans="1:226" s="418" customFormat="1" ht="15" hidden="1" customHeight="1">
      <c r="A936" s="1809"/>
      <c r="B936" s="1827"/>
      <c r="C936" s="1815"/>
      <c r="D936" s="1818"/>
      <c r="E936" s="1352"/>
      <c r="F936" s="1353">
        <f>SUM(G936:J936)</f>
        <v>0</v>
      </c>
      <c r="G936" s="1353"/>
      <c r="H936" s="1353"/>
      <c r="I936" s="1353"/>
      <c r="J936" s="1354"/>
      <c r="K936" s="416"/>
    </row>
    <row r="937" spans="1:226" s="418" customFormat="1" ht="15" hidden="1" customHeight="1">
      <c r="A937" s="1809"/>
      <c r="B937" s="1827"/>
      <c r="C937" s="1815"/>
      <c r="D937" s="1818"/>
      <c r="E937" s="1352"/>
      <c r="F937" s="1353">
        <f>SUM(G937:J937)</f>
        <v>0</v>
      </c>
      <c r="G937" s="1353"/>
      <c r="H937" s="1353"/>
      <c r="I937" s="1353"/>
      <c r="J937" s="1354"/>
      <c r="K937" s="416"/>
    </row>
    <row r="938" spans="1:226" s="418" customFormat="1" ht="24.95" hidden="1" customHeight="1">
      <c r="A938" s="1809"/>
      <c r="B938" s="1827"/>
      <c r="C938" s="1815"/>
      <c r="D938" s="1818"/>
      <c r="E938" s="1349" t="s">
        <v>340</v>
      </c>
      <c r="F938" s="1350">
        <f>SUM(F939:F940)</f>
        <v>0</v>
      </c>
      <c r="G938" s="1350">
        <f>SUM(G939:G940)</f>
        <v>0</v>
      </c>
      <c r="H938" s="1350">
        <f>SUM(H939:H940)</f>
        <v>0</v>
      </c>
      <c r="I938" s="1350">
        <f>SUM(I939:I940)</f>
        <v>0</v>
      </c>
      <c r="J938" s="1351">
        <f>SUM(J939:J940)</f>
        <v>0</v>
      </c>
      <c r="K938" s="416"/>
    </row>
    <row r="939" spans="1:226" s="418" customFormat="1" ht="15" hidden="1" customHeight="1">
      <c r="A939" s="1809"/>
      <c r="B939" s="1827"/>
      <c r="C939" s="1815"/>
      <c r="D939" s="1818"/>
      <c r="E939" s="1352"/>
      <c r="F939" s="1353">
        <f>SUM(G939:J939)</f>
        <v>0</v>
      </c>
      <c r="G939" s="1353"/>
      <c r="H939" s="1353"/>
      <c r="I939" s="1353"/>
      <c r="J939" s="1354"/>
      <c r="K939" s="416"/>
    </row>
    <row r="940" spans="1:226" s="418" customFormat="1" ht="15" hidden="1" customHeight="1">
      <c r="A940" s="1809"/>
      <c r="B940" s="1827"/>
      <c r="C940" s="1815"/>
      <c r="D940" s="1818"/>
      <c r="E940" s="1352"/>
      <c r="F940" s="1353">
        <f>SUM(G940:J940)</f>
        <v>0</v>
      </c>
      <c r="G940" s="1353"/>
      <c r="H940" s="1353"/>
      <c r="I940" s="1353"/>
      <c r="J940" s="1354"/>
      <c r="K940" s="416"/>
    </row>
    <row r="941" spans="1:226" s="418" customFormat="1" ht="13.5" customHeight="1">
      <c r="A941" s="1809"/>
      <c r="B941" s="1827"/>
      <c r="C941" s="1815"/>
      <c r="D941" s="1818"/>
      <c r="E941" s="1355" t="s">
        <v>324</v>
      </c>
      <c r="F941" s="1347">
        <f>SUM(F942:F947)</f>
        <v>16000000</v>
      </c>
      <c r="G941" s="1347">
        <f>SUM(G942:G947)</f>
        <v>2400000</v>
      </c>
      <c r="H941" s="1347">
        <f>SUM(H942:H947)</f>
        <v>13600000</v>
      </c>
      <c r="I941" s="1347">
        <f>SUM(I942:I947)</f>
        <v>0</v>
      </c>
      <c r="J941" s="1348">
        <f>SUM(J942:J947)</f>
        <v>0</v>
      </c>
      <c r="K941" s="416"/>
      <c r="L941" s="416"/>
      <c r="M941" s="416"/>
      <c r="N941" s="416"/>
      <c r="O941" s="416"/>
      <c r="P941" s="416"/>
      <c r="Q941" s="416"/>
      <c r="R941" s="416"/>
      <c r="S941" s="416"/>
      <c r="T941" s="416"/>
      <c r="U941" s="416"/>
      <c r="V941" s="416"/>
      <c r="W941" s="416"/>
      <c r="X941" s="416"/>
      <c r="Y941" s="416"/>
      <c r="Z941" s="416"/>
      <c r="AA941" s="416"/>
      <c r="AB941" s="416"/>
      <c r="AC941" s="416"/>
      <c r="AD941" s="416"/>
      <c r="AE941" s="416"/>
      <c r="AF941" s="416"/>
      <c r="AG941" s="416"/>
      <c r="AH941" s="416"/>
      <c r="AI941" s="416"/>
      <c r="AJ941" s="416"/>
      <c r="AK941" s="416"/>
      <c r="AL941" s="416"/>
      <c r="AM941" s="416"/>
      <c r="AN941" s="416"/>
      <c r="AO941" s="416"/>
      <c r="AP941" s="416"/>
      <c r="AQ941" s="416"/>
      <c r="AR941" s="416"/>
      <c r="AS941" s="416"/>
      <c r="AT941" s="416"/>
      <c r="AU941" s="416"/>
      <c r="AV941" s="416"/>
      <c r="AW941" s="416"/>
      <c r="AX941" s="416"/>
      <c r="AY941" s="416"/>
      <c r="AZ941" s="416"/>
      <c r="BA941" s="416"/>
      <c r="BB941" s="416"/>
      <c r="BC941" s="416"/>
      <c r="BD941" s="416"/>
      <c r="BE941" s="416"/>
      <c r="BF941" s="416"/>
      <c r="BG941" s="416"/>
      <c r="BH941" s="416"/>
      <c r="BI941" s="416"/>
      <c r="BJ941" s="416"/>
      <c r="BK941" s="416"/>
      <c r="BL941" s="416"/>
      <c r="BM941" s="416"/>
      <c r="BN941" s="416"/>
      <c r="BO941" s="416"/>
      <c r="BP941" s="416"/>
      <c r="BQ941" s="416"/>
      <c r="BR941" s="416"/>
      <c r="BS941" s="416"/>
      <c r="BT941" s="416"/>
      <c r="BU941" s="416"/>
      <c r="BV941" s="416"/>
      <c r="BW941" s="416"/>
      <c r="BX941" s="416"/>
      <c r="BY941" s="416"/>
      <c r="BZ941" s="416"/>
      <c r="CA941" s="416"/>
      <c r="CB941" s="416"/>
      <c r="CC941" s="416"/>
      <c r="CD941" s="416"/>
      <c r="CE941" s="416"/>
      <c r="CF941" s="416"/>
      <c r="CG941" s="416"/>
      <c r="CH941" s="416"/>
      <c r="CI941" s="416"/>
      <c r="CJ941" s="416"/>
      <c r="CK941" s="416"/>
      <c r="CL941" s="416"/>
      <c r="CM941" s="416"/>
      <c r="CN941" s="416"/>
      <c r="CO941" s="416"/>
      <c r="CP941" s="416"/>
      <c r="CQ941" s="416"/>
      <c r="CR941" s="416"/>
      <c r="CS941" s="416"/>
      <c r="CT941" s="416"/>
      <c r="CU941" s="416"/>
      <c r="CV941" s="416"/>
      <c r="CW941" s="416"/>
      <c r="CX941" s="416"/>
      <c r="CY941" s="416"/>
      <c r="CZ941" s="416"/>
      <c r="DA941" s="416"/>
      <c r="DB941" s="416"/>
      <c r="DC941" s="416"/>
      <c r="DD941" s="416"/>
      <c r="DE941" s="416"/>
      <c r="DF941" s="416"/>
      <c r="DG941" s="416"/>
      <c r="DH941" s="416"/>
      <c r="DI941" s="416"/>
      <c r="DJ941" s="416"/>
      <c r="DK941" s="416"/>
      <c r="DL941" s="416"/>
      <c r="DM941" s="416"/>
      <c r="DN941" s="416"/>
      <c r="DO941" s="416"/>
      <c r="DP941" s="416"/>
      <c r="DQ941" s="416"/>
      <c r="DR941" s="416"/>
      <c r="DS941" s="416"/>
      <c r="DT941" s="416"/>
      <c r="DU941" s="416"/>
      <c r="DV941" s="416"/>
      <c r="DW941" s="416"/>
      <c r="DX941" s="416"/>
      <c r="DY941" s="416"/>
      <c r="DZ941" s="416"/>
      <c r="EA941" s="416"/>
      <c r="EB941" s="416"/>
      <c r="EC941" s="416"/>
      <c r="ED941" s="416"/>
      <c r="EE941" s="416"/>
      <c r="EF941" s="416"/>
      <c r="EG941" s="416"/>
      <c r="EH941" s="416"/>
      <c r="EI941" s="416"/>
      <c r="EJ941" s="416"/>
      <c r="EK941" s="416"/>
      <c r="EL941" s="416"/>
      <c r="EM941" s="416"/>
      <c r="EN941" s="416"/>
      <c r="EO941" s="416"/>
      <c r="EP941" s="416"/>
      <c r="EQ941" s="416"/>
      <c r="ER941" s="416"/>
      <c r="ES941" s="416"/>
      <c r="ET941" s="416"/>
      <c r="EU941" s="416"/>
      <c r="EV941" s="416"/>
      <c r="EW941" s="416"/>
      <c r="EX941" s="416"/>
      <c r="EY941" s="416"/>
      <c r="EZ941" s="416"/>
      <c r="FA941" s="416"/>
      <c r="FB941" s="416"/>
      <c r="FC941" s="416"/>
      <c r="FD941" s="416"/>
      <c r="FE941" s="416"/>
      <c r="FF941" s="416"/>
      <c r="FG941" s="416"/>
      <c r="FH941" s="416"/>
      <c r="FI941" s="416"/>
      <c r="FJ941" s="416"/>
      <c r="FK941" s="416"/>
      <c r="FL941" s="416"/>
      <c r="FM941" s="416"/>
      <c r="FN941" s="416"/>
      <c r="FO941" s="416"/>
      <c r="FP941" s="416"/>
      <c r="FQ941" s="416"/>
      <c r="FR941" s="416"/>
      <c r="FS941" s="416"/>
      <c r="FT941" s="416"/>
      <c r="FU941" s="416"/>
      <c r="FV941" s="416"/>
      <c r="FW941" s="416"/>
      <c r="FX941" s="416"/>
      <c r="FY941" s="416"/>
      <c r="FZ941" s="416"/>
      <c r="GA941" s="416"/>
      <c r="GB941" s="416"/>
      <c r="GC941" s="416"/>
      <c r="GD941" s="416"/>
      <c r="GE941" s="416"/>
      <c r="GF941" s="416"/>
      <c r="GG941" s="416"/>
      <c r="GH941" s="416"/>
      <c r="GI941" s="416"/>
      <c r="GJ941" s="416"/>
      <c r="GK941" s="416"/>
      <c r="GL941" s="416"/>
      <c r="GM941" s="416"/>
      <c r="GN941" s="416"/>
      <c r="GO941" s="416"/>
      <c r="GP941" s="416"/>
      <c r="GQ941" s="416"/>
      <c r="GR941" s="416"/>
      <c r="GS941" s="416"/>
      <c r="GT941" s="416"/>
      <c r="GU941" s="416"/>
      <c r="GV941" s="416"/>
      <c r="GW941" s="416"/>
      <c r="GX941" s="416"/>
      <c r="GY941" s="416"/>
      <c r="GZ941" s="416"/>
      <c r="HA941" s="416"/>
      <c r="HB941" s="416"/>
      <c r="HC941" s="416"/>
      <c r="HD941" s="416"/>
      <c r="HE941" s="416"/>
      <c r="HF941" s="416"/>
      <c r="HG941" s="416"/>
      <c r="HH941" s="416"/>
      <c r="HI941" s="416"/>
      <c r="HJ941" s="416"/>
      <c r="HK941" s="416"/>
      <c r="HL941" s="416"/>
      <c r="HM941" s="416"/>
      <c r="HN941" s="416"/>
      <c r="HO941" s="416"/>
      <c r="HP941" s="416"/>
      <c r="HQ941" s="416"/>
      <c r="HR941" s="416"/>
    </row>
    <row r="942" spans="1:226" s="418" customFormat="1" ht="15" hidden="1" customHeight="1">
      <c r="A942" s="1809"/>
      <c r="B942" s="1827"/>
      <c r="C942" s="1815"/>
      <c r="D942" s="1818"/>
      <c r="E942" s="1352" t="s">
        <v>405</v>
      </c>
      <c r="F942" s="1353">
        <f t="shared" ref="F942:F947" si="85">SUM(G942:J942)</f>
        <v>0</v>
      </c>
      <c r="G942" s="1353"/>
      <c r="H942" s="1353"/>
      <c r="I942" s="1353"/>
      <c r="J942" s="1354"/>
      <c r="K942" s="416"/>
    </row>
    <row r="943" spans="1:226" s="418" customFormat="1" ht="15" customHeight="1">
      <c r="A943" s="1809"/>
      <c r="B943" s="1827"/>
      <c r="C943" s="1815"/>
      <c r="D943" s="1818"/>
      <c r="E943" s="1358">
        <v>6057</v>
      </c>
      <c r="F943" s="1359">
        <f t="shared" si="85"/>
        <v>13557500</v>
      </c>
      <c r="G943" s="1359"/>
      <c r="H943" s="1359">
        <v>13557500</v>
      </c>
      <c r="I943" s="1359"/>
      <c r="J943" s="1360"/>
      <c r="K943" s="416"/>
    </row>
    <row r="944" spans="1:226" s="418" customFormat="1" ht="15" customHeight="1">
      <c r="A944" s="1809"/>
      <c r="B944" s="1827"/>
      <c r="C944" s="1815"/>
      <c r="D944" s="1818"/>
      <c r="E944" s="1358">
        <v>6059</v>
      </c>
      <c r="F944" s="1359">
        <f t="shared" si="85"/>
        <v>2392500</v>
      </c>
      <c r="G944" s="1359">
        <v>2392500</v>
      </c>
      <c r="H944" s="1359"/>
      <c r="I944" s="1359"/>
      <c r="J944" s="1360"/>
      <c r="K944" s="416"/>
    </row>
    <row r="945" spans="1:226" s="418" customFormat="1" ht="15" hidden="1" customHeight="1">
      <c r="A945" s="1809"/>
      <c r="B945" s="1827"/>
      <c r="C945" s="1815"/>
      <c r="D945" s="1818"/>
      <c r="E945" s="1358">
        <v>6060</v>
      </c>
      <c r="F945" s="1359">
        <f t="shared" si="85"/>
        <v>0</v>
      </c>
      <c r="G945" s="1359"/>
      <c r="H945" s="1359"/>
      <c r="I945" s="1359"/>
      <c r="J945" s="1360"/>
      <c r="K945" s="416"/>
    </row>
    <row r="946" spans="1:226" s="418" customFormat="1" ht="15" customHeight="1">
      <c r="A946" s="1809"/>
      <c r="B946" s="1827"/>
      <c r="C946" s="1815"/>
      <c r="D946" s="1818"/>
      <c r="E946" s="1384" t="s">
        <v>397</v>
      </c>
      <c r="F946" s="1359">
        <f t="shared" si="85"/>
        <v>42500</v>
      </c>
      <c r="G946" s="1359"/>
      <c r="H946" s="1359">
        <v>42500</v>
      </c>
      <c r="I946" s="1359"/>
      <c r="J946" s="1360"/>
      <c r="K946" s="416"/>
    </row>
    <row r="947" spans="1:226" s="418" customFormat="1" ht="15" customHeight="1" thickBot="1">
      <c r="A947" s="1810"/>
      <c r="B947" s="1828"/>
      <c r="C947" s="1816"/>
      <c r="D947" s="1819"/>
      <c r="E947" s="1356">
        <v>6069</v>
      </c>
      <c r="F947" s="1357">
        <f t="shared" si="85"/>
        <v>7500</v>
      </c>
      <c r="G947" s="1357">
        <v>7500</v>
      </c>
      <c r="H947" s="1357"/>
      <c r="I947" s="1357"/>
      <c r="J947" s="1373"/>
      <c r="K947" s="416"/>
    </row>
    <row r="948" spans="1:226" s="418" customFormat="1" ht="22.5">
      <c r="A948" s="1809" t="s">
        <v>452</v>
      </c>
      <c r="B948" s="1827" t="s">
        <v>503</v>
      </c>
      <c r="C948" s="1815">
        <v>600</v>
      </c>
      <c r="D948" s="1818" t="s">
        <v>482</v>
      </c>
      <c r="E948" s="1340" t="s">
        <v>322</v>
      </c>
      <c r="F948" s="1341">
        <f>SUM(F949,F956)</f>
        <v>29664186</v>
      </c>
      <c r="G948" s="1341">
        <f>SUM(G949,G956)</f>
        <v>6999627</v>
      </c>
      <c r="H948" s="1341">
        <f>SUM(H949,H956)</f>
        <v>22664559</v>
      </c>
      <c r="I948" s="1341">
        <f>SUM(I949,I956)</f>
        <v>0</v>
      </c>
      <c r="J948" s="1342">
        <f>SUM(J949,J956)</f>
        <v>0</v>
      </c>
      <c r="K948" s="416"/>
    </row>
    <row r="949" spans="1:226" s="418" customFormat="1" ht="14.25" customHeight="1">
      <c r="A949" s="1809"/>
      <c r="B949" s="1827"/>
      <c r="C949" s="1815"/>
      <c r="D949" s="1818"/>
      <c r="E949" s="1346" t="s">
        <v>323</v>
      </c>
      <c r="F949" s="1347">
        <f>SUM(F950,F953)</f>
        <v>0</v>
      </c>
      <c r="G949" s="1347">
        <f>SUM(G950,G953)</f>
        <v>0</v>
      </c>
      <c r="H949" s="1347">
        <f>SUM(H950,H953)</f>
        <v>0</v>
      </c>
      <c r="I949" s="1347">
        <f>SUM(I950,I953)</f>
        <v>0</v>
      </c>
      <c r="J949" s="1348">
        <f>SUM(J950,J953)</f>
        <v>0</v>
      </c>
      <c r="K949" s="416"/>
    </row>
    <row r="950" spans="1:226" s="418" customFormat="1" ht="24.95" hidden="1" customHeight="1">
      <c r="A950" s="1809"/>
      <c r="B950" s="1827"/>
      <c r="C950" s="1815"/>
      <c r="D950" s="1818"/>
      <c r="E950" s="1349" t="s">
        <v>335</v>
      </c>
      <c r="F950" s="1350">
        <f>SUM(F951:F952)</f>
        <v>0</v>
      </c>
      <c r="G950" s="1350">
        <f>SUM(G951:G952)</f>
        <v>0</v>
      </c>
      <c r="H950" s="1350">
        <f>SUM(H951:H952)</f>
        <v>0</v>
      </c>
      <c r="I950" s="1350">
        <f>SUM(I951:I952)</f>
        <v>0</v>
      </c>
      <c r="J950" s="1351">
        <f>SUM(J951:J952)</f>
        <v>0</v>
      </c>
      <c r="K950" s="416"/>
    </row>
    <row r="951" spans="1:226" s="418" customFormat="1" ht="15" hidden="1" customHeight="1">
      <c r="A951" s="1809"/>
      <c r="B951" s="1827"/>
      <c r="C951" s="1815"/>
      <c r="D951" s="1818"/>
      <c r="E951" s="1352"/>
      <c r="F951" s="1353">
        <f>SUM(G951:J951)</f>
        <v>0</v>
      </c>
      <c r="G951" s="1353"/>
      <c r="H951" s="1353"/>
      <c r="I951" s="1353"/>
      <c r="J951" s="1354"/>
      <c r="K951" s="416"/>
    </row>
    <row r="952" spans="1:226" s="418" customFormat="1" ht="15" hidden="1" customHeight="1">
      <c r="A952" s="1809"/>
      <c r="B952" s="1827"/>
      <c r="C952" s="1815"/>
      <c r="D952" s="1818"/>
      <c r="E952" s="1352"/>
      <c r="F952" s="1353">
        <f>SUM(G952:J952)</f>
        <v>0</v>
      </c>
      <c r="G952" s="1353"/>
      <c r="H952" s="1353"/>
      <c r="I952" s="1353"/>
      <c r="J952" s="1354"/>
      <c r="K952" s="416"/>
    </row>
    <row r="953" spans="1:226" s="418" customFormat="1" ht="24.95" hidden="1" customHeight="1">
      <c r="A953" s="1809"/>
      <c r="B953" s="1827"/>
      <c r="C953" s="1815"/>
      <c r="D953" s="1818"/>
      <c r="E953" s="1349" t="s">
        <v>340</v>
      </c>
      <c r="F953" s="1350">
        <f>SUM(F954:F955)</f>
        <v>0</v>
      </c>
      <c r="G953" s="1350">
        <f>SUM(G954:G955)</f>
        <v>0</v>
      </c>
      <c r="H953" s="1350">
        <f>SUM(H954:H955)</f>
        <v>0</v>
      </c>
      <c r="I953" s="1350">
        <f>SUM(I954:I955)</f>
        <v>0</v>
      </c>
      <c r="J953" s="1351">
        <f>SUM(J954:J955)</f>
        <v>0</v>
      </c>
      <c r="K953" s="416"/>
    </row>
    <row r="954" spans="1:226" s="418" customFormat="1" ht="15" hidden="1" customHeight="1">
      <c r="A954" s="1809"/>
      <c r="B954" s="1827"/>
      <c r="C954" s="1815"/>
      <c r="D954" s="1818"/>
      <c r="E954" s="1352"/>
      <c r="F954" s="1353">
        <f>SUM(G954:J954)</f>
        <v>0</v>
      </c>
      <c r="G954" s="1353"/>
      <c r="H954" s="1353"/>
      <c r="I954" s="1353"/>
      <c r="J954" s="1354"/>
      <c r="K954" s="416"/>
    </row>
    <row r="955" spans="1:226" s="418" customFormat="1" ht="15" hidden="1" customHeight="1">
      <c r="A955" s="1809"/>
      <c r="B955" s="1827"/>
      <c r="C955" s="1815"/>
      <c r="D955" s="1818"/>
      <c r="E955" s="1352"/>
      <c r="F955" s="1353">
        <f>SUM(G955:J955)</f>
        <v>0</v>
      </c>
      <c r="G955" s="1353"/>
      <c r="H955" s="1353"/>
      <c r="I955" s="1353"/>
      <c r="J955" s="1354"/>
      <c r="K955" s="416"/>
    </row>
    <row r="956" spans="1:226" s="418" customFormat="1" ht="14.25" customHeight="1">
      <c r="A956" s="1809"/>
      <c r="B956" s="1827"/>
      <c r="C956" s="1815"/>
      <c r="D956" s="1818"/>
      <c r="E956" s="1355" t="s">
        <v>324</v>
      </c>
      <c r="F956" s="1347">
        <f>SUM(F957:F962)</f>
        <v>29664186</v>
      </c>
      <c r="G956" s="1347">
        <f>SUM(G957:G962)</f>
        <v>6999627</v>
      </c>
      <c r="H956" s="1347">
        <f>SUM(H957:H962)</f>
        <v>22664559</v>
      </c>
      <c r="I956" s="1347">
        <f>SUM(I957:I962)</f>
        <v>0</v>
      </c>
      <c r="J956" s="1348">
        <f>SUM(J957:J962)</f>
        <v>0</v>
      </c>
      <c r="K956" s="416"/>
      <c r="L956" s="416"/>
      <c r="M956" s="416"/>
      <c r="N956" s="416"/>
      <c r="O956" s="416"/>
      <c r="P956" s="416"/>
      <c r="Q956" s="416"/>
      <c r="R956" s="416"/>
      <c r="S956" s="416"/>
      <c r="T956" s="416"/>
      <c r="U956" s="416"/>
      <c r="V956" s="416"/>
      <c r="W956" s="416"/>
      <c r="X956" s="416"/>
      <c r="Y956" s="416"/>
      <c r="Z956" s="416"/>
      <c r="AA956" s="416"/>
      <c r="AB956" s="416"/>
      <c r="AC956" s="416"/>
      <c r="AD956" s="416"/>
      <c r="AE956" s="416"/>
      <c r="AF956" s="416"/>
      <c r="AG956" s="416"/>
      <c r="AH956" s="416"/>
      <c r="AI956" s="416"/>
      <c r="AJ956" s="416"/>
      <c r="AK956" s="416"/>
      <c r="AL956" s="416"/>
      <c r="AM956" s="416"/>
      <c r="AN956" s="416"/>
      <c r="AO956" s="416"/>
      <c r="AP956" s="416"/>
      <c r="AQ956" s="416"/>
      <c r="AR956" s="416"/>
      <c r="AS956" s="416"/>
      <c r="AT956" s="416"/>
      <c r="AU956" s="416"/>
      <c r="AV956" s="416"/>
      <c r="AW956" s="416"/>
      <c r="AX956" s="416"/>
      <c r="AY956" s="416"/>
      <c r="AZ956" s="416"/>
      <c r="BA956" s="416"/>
      <c r="BB956" s="416"/>
      <c r="BC956" s="416"/>
      <c r="BD956" s="416"/>
      <c r="BE956" s="416"/>
      <c r="BF956" s="416"/>
      <c r="BG956" s="416"/>
      <c r="BH956" s="416"/>
      <c r="BI956" s="416"/>
      <c r="BJ956" s="416"/>
      <c r="BK956" s="416"/>
      <c r="BL956" s="416"/>
      <c r="BM956" s="416"/>
      <c r="BN956" s="416"/>
      <c r="BO956" s="416"/>
      <c r="BP956" s="416"/>
      <c r="BQ956" s="416"/>
      <c r="BR956" s="416"/>
      <c r="BS956" s="416"/>
      <c r="BT956" s="416"/>
      <c r="BU956" s="416"/>
      <c r="BV956" s="416"/>
      <c r="BW956" s="416"/>
      <c r="BX956" s="416"/>
      <c r="BY956" s="416"/>
      <c r="BZ956" s="416"/>
      <c r="CA956" s="416"/>
      <c r="CB956" s="416"/>
      <c r="CC956" s="416"/>
      <c r="CD956" s="416"/>
      <c r="CE956" s="416"/>
      <c r="CF956" s="416"/>
      <c r="CG956" s="416"/>
      <c r="CH956" s="416"/>
      <c r="CI956" s="416"/>
      <c r="CJ956" s="416"/>
      <c r="CK956" s="416"/>
      <c r="CL956" s="416"/>
      <c r="CM956" s="416"/>
      <c r="CN956" s="416"/>
      <c r="CO956" s="416"/>
      <c r="CP956" s="416"/>
      <c r="CQ956" s="416"/>
      <c r="CR956" s="416"/>
      <c r="CS956" s="416"/>
      <c r="CT956" s="416"/>
      <c r="CU956" s="416"/>
      <c r="CV956" s="416"/>
      <c r="CW956" s="416"/>
      <c r="CX956" s="416"/>
      <c r="CY956" s="416"/>
      <c r="CZ956" s="416"/>
      <c r="DA956" s="416"/>
      <c r="DB956" s="416"/>
      <c r="DC956" s="416"/>
      <c r="DD956" s="416"/>
      <c r="DE956" s="416"/>
      <c r="DF956" s="416"/>
      <c r="DG956" s="416"/>
      <c r="DH956" s="416"/>
      <c r="DI956" s="416"/>
      <c r="DJ956" s="416"/>
      <c r="DK956" s="416"/>
      <c r="DL956" s="416"/>
      <c r="DM956" s="416"/>
      <c r="DN956" s="416"/>
      <c r="DO956" s="416"/>
      <c r="DP956" s="416"/>
      <c r="DQ956" s="416"/>
      <c r="DR956" s="416"/>
      <c r="DS956" s="416"/>
      <c r="DT956" s="416"/>
      <c r="DU956" s="416"/>
      <c r="DV956" s="416"/>
      <c r="DW956" s="416"/>
      <c r="DX956" s="416"/>
      <c r="DY956" s="416"/>
      <c r="DZ956" s="416"/>
      <c r="EA956" s="416"/>
      <c r="EB956" s="416"/>
      <c r="EC956" s="416"/>
      <c r="ED956" s="416"/>
      <c r="EE956" s="416"/>
      <c r="EF956" s="416"/>
      <c r="EG956" s="416"/>
      <c r="EH956" s="416"/>
      <c r="EI956" s="416"/>
      <c r="EJ956" s="416"/>
      <c r="EK956" s="416"/>
      <c r="EL956" s="416"/>
      <c r="EM956" s="416"/>
      <c r="EN956" s="416"/>
      <c r="EO956" s="416"/>
      <c r="EP956" s="416"/>
      <c r="EQ956" s="416"/>
      <c r="ER956" s="416"/>
      <c r="ES956" s="416"/>
      <c r="ET956" s="416"/>
      <c r="EU956" s="416"/>
      <c r="EV956" s="416"/>
      <c r="EW956" s="416"/>
      <c r="EX956" s="416"/>
      <c r="EY956" s="416"/>
      <c r="EZ956" s="416"/>
      <c r="FA956" s="416"/>
      <c r="FB956" s="416"/>
      <c r="FC956" s="416"/>
      <c r="FD956" s="416"/>
      <c r="FE956" s="416"/>
      <c r="FF956" s="416"/>
      <c r="FG956" s="416"/>
      <c r="FH956" s="416"/>
      <c r="FI956" s="416"/>
      <c r="FJ956" s="416"/>
      <c r="FK956" s="416"/>
      <c r="FL956" s="416"/>
      <c r="FM956" s="416"/>
      <c r="FN956" s="416"/>
      <c r="FO956" s="416"/>
      <c r="FP956" s="416"/>
      <c r="FQ956" s="416"/>
      <c r="FR956" s="416"/>
      <c r="FS956" s="416"/>
      <c r="FT956" s="416"/>
      <c r="FU956" s="416"/>
      <c r="FV956" s="416"/>
      <c r="FW956" s="416"/>
      <c r="FX956" s="416"/>
      <c r="FY956" s="416"/>
      <c r="FZ956" s="416"/>
      <c r="GA956" s="416"/>
      <c r="GB956" s="416"/>
      <c r="GC956" s="416"/>
      <c r="GD956" s="416"/>
      <c r="GE956" s="416"/>
      <c r="GF956" s="416"/>
      <c r="GG956" s="416"/>
      <c r="GH956" s="416"/>
      <c r="GI956" s="416"/>
      <c r="GJ956" s="416"/>
      <c r="GK956" s="416"/>
      <c r="GL956" s="416"/>
      <c r="GM956" s="416"/>
      <c r="GN956" s="416"/>
      <c r="GO956" s="416"/>
      <c r="GP956" s="416"/>
      <c r="GQ956" s="416"/>
      <c r="GR956" s="416"/>
      <c r="GS956" s="416"/>
      <c r="GT956" s="416"/>
      <c r="GU956" s="416"/>
      <c r="GV956" s="416"/>
      <c r="GW956" s="416"/>
      <c r="GX956" s="416"/>
      <c r="GY956" s="416"/>
      <c r="GZ956" s="416"/>
      <c r="HA956" s="416"/>
      <c r="HB956" s="416"/>
      <c r="HC956" s="416"/>
      <c r="HD956" s="416"/>
      <c r="HE956" s="416"/>
      <c r="HF956" s="416"/>
      <c r="HG956" s="416"/>
      <c r="HH956" s="416"/>
      <c r="HI956" s="416"/>
      <c r="HJ956" s="416"/>
      <c r="HK956" s="416"/>
      <c r="HL956" s="416"/>
      <c r="HM956" s="416"/>
      <c r="HN956" s="416"/>
      <c r="HO956" s="416"/>
      <c r="HP956" s="416"/>
      <c r="HQ956" s="416"/>
      <c r="HR956" s="416"/>
    </row>
    <row r="957" spans="1:226" s="418" customFormat="1" ht="15" customHeight="1">
      <c r="A957" s="1809"/>
      <c r="B957" s="1827"/>
      <c r="C957" s="1815"/>
      <c r="D957" s="1818"/>
      <c r="E957" s="1352" t="s">
        <v>405</v>
      </c>
      <c r="F957" s="1353">
        <f t="shared" ref="F957:F962" si="86">SUM(G957:J957)</f>
        <v>3000000</v>
      </c>
      <c r="G957" s="1353">
        <v>3000000</v>
      </c>
      <c r="H957" s="1353"/>
      <c r="I957" s="1353"/>
      <c r="J957" s="1354"/>
      <c r="K957" s="416"/>
    </row>
    <row r="958" spans="1:226" s="418" customFormat="1" ht="15" customHeight="1">
      <c r="A958" s="1809"/>
      <c r="B958" s="1827"/>
      <c r="C958" s="1815"/>
      <c r="D958" s="1818"/>
      <c r="E958" s="1358">
        <v>6057</v>
      </c>
      <c r="F958" s="1359">
        <f t="shared" si="86"/>
        <v>22664559</v>
      </c>
      <c r="G958" s="1359"/>
      <c r="H958" s="1359">
        <f>24789559-2125000</f>
        <v>22664559</v>
      </c>
      <c r="I958" s="1359"/>
      <c r="J958" s="1360"/>
      <c r="K958" s="416"/>
    </row>
    <row r="959" spans="1:226" s="418" customFormat="1" ht="15" customHeight="1" thickBot="1">
      <c r="A959" s="1809"/>
      <c r="B959" s="1827"/>
      <c r="C959" s="1815"/>
      <c r="D959" s="1818"/>
      <c r="E959" s="1358">
        <v>6059</v>
      </c>
      <c r="F959" s="1359">
        <f t="shared" si="86"/>
        <v>3999627</v>
      </c>
      <c r="G959" s="1359">
        <f>4374627-375000</f>
        <v>3999627</v>
      </c>
      <c r="H959" s="1359"/>
      <c r="I959" s="1359"/>
      <c r="J959" s="1360"/>
      <c r="K959" s="416"/>
    </row>
    <row r="960" spans="1:226" s="418" customFormat="1" ht="15" hidden="1" customHeight="1">
      <c r="A960" s="1809"/>
      <c r="B960" s="1827"/>
      <c r="C960" s="1815"/>
      <c r="D960" s="1818"/>
      <c r="E960" s="1358">
        <v>6060</v>
      </c>
      <c r="F960" s="1359">
        <f t="shared" si="86"/>
        <v>0</v>
      </c>
      <c r="G960" s="1359"/>
      <c r="H960" s="1359"/>
      <c r="I960" s="1359"/>
      <c r="J960" s="1360"/>
      <c r="K960" s="416"/>
    </row>
    <row r="961" spans="1:226" s="418" customFormat="1" ht="15" hidden="1" customHeight="1">
      <c r="A961" s="1809"/>
      <c r="B961" s="1827"/>
      <c r="C961" s="1815"/>
      <c r="D961" s="1818"/>
      <c r="E961" s="1384" t="s">
        <v>397</v>
      </c>
      <c r="F961" s="1359">
        <f t="shared" si="86"/>
        <v>0</v>
      </c>
      <c r="G961" s="1359"/>
      <c r="H961" s="1359"/>
      <c r="I961" s="1359"/>
      <c r="J961" s="1360"/>
      <c r="K961" s="416"/>
    </row>
    <row r="962" spans="1:226" s="418" customFormat="1" ht="15" hidden="1" customHeight="1">
      <c r="A962" s="1809"/>
      <c r="B962" s="1827"/>
      <c r="C962" s="1815"/>
      <c r="D962" s="1818"/>
      <c r="E962" s="1358">
        <v>6069</v>
      </c>
      <c r="F962" s="1359">
        <f t="shared" si="86"/>
        <v>0</v>
      </c>
      <c r="G962" s="1359"/>
      <c r="H962" s="1359"/>
      <c r="I962" s="1359"/>
      <c r="J962" s="1360"/>
      <c r="K962" s="416"/>
    </row>
    <row r="963" spans="1:226" s="418" customFormat="1" ht="22.5">
      <c r="A963" s="1808" t="s">
        <v>455</v>
      </c>
      <c r="B963" s="1826" t="s">
        <v>504</v>
      </c>
      <c r="C963" s="1814">
        <v>600</v>
      </c>
      <c r="D963" s="1817" t="s">
        <v>482</v>
      </c>
      <c r="E963" s="1361" t="s">
        <v>322</v>
      </c>
      <c r="F963" s="1362">
        <f>SUM(F964,F971)</f>
        <v>48572600</v>
      </c>
      <c r="G963" s="1362">
        <f>SUM(G964,G971)</f>
        <v>7285890</v>
      </c>
      <c r="H963" s="1362">
        <f>SUM(H964,H971)</f>
        <v>41286710</v>
      </c>
      <c r="I963" s="1362">
        <f>SUM(I964,I971)</f>
        <v>0</v>
      </c>
      <c r="J963" s="1363">
        <f>SUM(J964,J971)</f>
        <v>0</v>
      </c>
      <c r="K963" s="416"/>
    </row>
    <row r="964" spans="1:226" s="418" customFormat="1" ht="15" customHeight="1">
      <c r="A964" s="1809"/>
      <c r="B964" s="1827"/>
      <c r="C964" s="1815"/>
      <c r="D964" s="1818"/>
      <c r="E964" s="1346" t="s">
        <v>323</v>
      </c>
      <c r="F964" s="1347">
        <f>SUM(F965,F968)</f>
        <v>0</v>
      </c>
      <c r="G964" s="1347">
        <f>SUM(G965,G968)</f>
        <v>0</v>
      </c>
      <c r="H964" s="1347">
        <f>SUM(H965,H968)</f>
        <v>0</v>
      </c>
      <c r="I964" s="1347">
        <f>SUM(I965,I968)</f>
        <v>0</v>
      </c>
      <c r="J964" s="1348">
        <f>SUM(J965,J968)</f>
        <v>0</v>
      </c>
      <c r="K964" s="416"/>
    </row>
    <row r="965" spans="1:226" s="418" customFormat="1" ht="24.95" hidden="1" customHeight="1">
      <c r="A965" s="1809"/>
      <c r="B965" s="1827"/>
      <c r="C965" s="1815"/>
      <c r="D965" s="1818"/>
      <c r="E965" s="1349" t="s">
        <v>335</v>
      </c>
      <c r="F965" s="1350">
        <f>SUM(F966:F967)</f>
        <v>0</v>
      </c>
      <c r="G965" s="1350">
        <f>SUM(G966:G967)</f>
        <v>0</v>
      </c>
      <c r="H965" s="1350">
        <f>SUM(H966:H967)</f>
        <v>0</v>
      </c>
      <c r="I965" s="1350">
        <f>SUM(I966:I967)</f>
        <v>0</v>
      </c>
      <c r="J965" s="1351">
        <f>SUM(J966:J967)</f>
        <v>0</v>
      </c>
      <c r="K965" s="416"/>
    </row>
    <row r="966" spans="1:226" s="418" customFormat="1" ht="15" hidden="1" customHeight="1">
      <c r="A966" s="1809"/>
      <c r="B966" s="1827"/>
      <c r="C966" s="1815"/>
      <c r="D966" s="1818"/>
      <c r="E966" s="1352"/>
      <c r="F966" s="1353">
        <f>SUM(G966:J966)</f>
        <v>0</v>
      </c>
      <c r="G966" s="1353"/>
      <c r="H966" s="1353"/>
      <c r="I966" s="1353"/>
      <c r="J966" s="1354"/>
      <c r="K966" s="416"/>
    </row>
    <row r="967" spans="1:226" s="418" customFormat="1" ht="15" hidden="1" customHeight="1">
      <c r="A967" s="1809"/>
      <c r="B967" s="1827"/>
      <c r="C967" s="1815"/>
      <c r="D967" s="1818"/>
      <c r="E967" s="1352"/>
      <c r="F967" s="1353">
        <f>SUM(G967:J967)</f>
        <v>0</v>
      </c>
      <c r="G967" s="1353"/>
      <c r="H967" s="1353"/>
      <c r="I967" s="1353"/>
      <c r="J967" s="1354"/>
      <c r="K967" s="416"/>
    </row>
    <row r="968" spans="1:226" s="418" customFormat="1" ht="24.95" hidden="1" customHeight="1">
      <c r="A968" s="1809"/>
      <c r="B968" s="1827"/>
      <c r="C968" s="1815"/>
      <c r="D968" s="1818"/>
      <c r="E968" s="1349" t="s">
        <v>340</v>
      </c>
      <c r="F968" s="1350">
        <f>SUM(F969:F970)</f>
        <v>0</v>
      </c>
      <c r="G968" s="1350">
        <f>SUM(G969:G970)</f>
        <v>0</v>
      </c>
      <c r="H968" s="1350">
        <f>SUM(H969:H970)</f>
        <v>0</v>
      </c>
      <c r="I968" s="1350">
        <f>SUM(I969:I970)</f>
        <v>0</v>
      </c>
      <c r="J968" s="1351">
        <f>SUM(J969:J970)</f>
        <v>0</v>
      </c>
      <c r="K968" s="416"/>
    </row>
    <row r="969" spans="1:226" s="418" customFormat="1" ht="15" hidden="1" customHeight="1">
      <c r="A969" s="1809"/>
      <c r="B969" s="1827"/>
      <c r="C969" s="1815"/>
      <c r="D969" s="1818"/>
      <c r="E969" s="1352"/>
      <c r="F969" s="1353">
        <f>SUM(G969:J969)</f>
        <v>0</v>
      </c>
      <c r="G969" s="1353"/>
      <c r="H969" s="1353"/>
      <c r="I969" s="1353"/>
      <c r="J969" s="1354"/>
      <c r="K969" s="416"/>
    </row>
    <row r="970" spans="1:226" s="418" customFormat="1" ht="15" hidden="1" customHeight="1">
      <c r="A970" s="1809"/>
      <c r="B970" s="1827"/>
      <c r="C970" s="1815"/>
      <c r="D970" s="1818"/>
      <c r="E970" s="1352"/>
      <c r="F970" s="1353">
        <f>SUM(G970:J970)</f>
        <v>0</v>
      </c>
      <c r="G970" s="1353"/>
      <c r="H970" s="1353"/>
      <c r="I970" s="1353"/>
      <c r="J970" s="1354"/>
      <c r="K970" s="416"/>
    </row>
    <row r="971" spans="1:226" s="418" customFormat="1" ht="13.5" customHeight="1">
      <c r="A971" s="1809"/>
      <c r="B971" s="1827"/>
      <c r="C971" s="1815"/>
      <c r="D971" s="1818"/>
      <c r="E971" s="1355" t="s">
        <v>324</v>
      </c>
      <c r="F971" s="1347">
        <f>SUM(F972:F977)</f>
        <v>48572600</v>
      </c>
      <c r="G971" s="1347">
        <f>SUM(G972:G977)</f>
        <v>7285890</v>
      </c>
      <c r="H971" s="1347">
        <f>SUM(H972:H977)</f>
        <v>41286710</v>
      </c>
      <c r="I971" s="1347">
        <f>SUM(I972:I977)</f>
        <v>0</v>
      </c>
      <c r="J971" s="1348">
        <f>SUM(J972:J977)</f>
        <v>0</v>
      </c>
      <c r="K971" s="416"/>
      <c r="L971" s="416"/>
      <c r="M971" s="416"/>
      <c r="N971" s="416"/>
      <c r="O971" s="416"/>
      <c r="P971" s="416"/>
      <c r="Q971" s="416"/>
      <c r="R971" s="416"/>
      <c r="S971" s="416"/>
      <c r="T971" s="416"/>
      <c r="U971" s="416"/>
      <c r="V971" s="416"/>
      <c r="W971" s="416"/>
      <c r="X971" s="416"/>
      <c r="Y971" s="416"/>
      <c r="Z971" s="416"/>
      <c r="AA971" s="416"/>
      <c r="AB971" s="416"/>
      <c r="AC971" s="416"/>
      <c r="AD971" s="416"/>
      <c r="AE971" s="416"/>
      <c r="AF971" s="416"/>
      <c r="AG971" s="416"/>
      <c r="AH971" s="416"/>
      <c r="AI971" s="416"/>
      <c r="AJ971" s="416"/>
      <c r="AK971" s="416"/>
      <c r="AL971" s="416"/>
      <c r="AM971" s="416"/>
      <c r="AN971" s="416"/>
      <c r="AO971" s="416"/>
      <c r="AP971" s="416"/>
      <c r="AQ971" s="416"/>
      <c r="AR971" s="416"/>
      <c r="AS971" s="416"/>
      <c r="AT971" s="416"/>
      <c r="AU971" s="416"/>
      <c r="AV971" s="416"/>
      <c r="AW971" s="416"/>
      <c r="AX971" s="416"/>
      <c r="AY971" s="416"/>
      <c r="AZ971" s="416"/>
      <c r="BA971" s="416"/>
      <c r="BB971" s="416"/>
      <c r="BC971" s="416"/>
      <c r="BD971" s="416"/>
      <c r="BE971" s="416"/>
      <c r="BF971" s="416"/>
      <c r="BG971" s="416"/>
      <c r="BH971" s="416"/>
      <c r="BI971" s="416"/>
      <c r="BJ971" s="416"/>
      <c r="BK971" s="416"/>
      <c r="BL971" s="416"/>
      <c r="BM971" s="416"/>
      <c r="BN971" s="416"/>
      <c r="BO971" s="416"/>
      <c r="BP971" s="416"/>
      <c r="BQ971" s="416"/>
      <c r="BR971" s="416"/>
      <c r="BS971" s="416"/>
      <c r="BT971" s="416"/>
      <c r="BU971" s="416"/>
      <c r="BV971" s="416"/>
      <c r="BW971" s="416"/>
      <c r="BX971" s="416"/>
      <c r="BY971" s="416"/>
      <c r="BZ971" s="416"/>
      <c r="CA971" s="416"/>
      <c r="CB971" s="416"/>
      <c r="CC971" s="416"/>
      <c r="CD971" s="416"/>
      <c r="CE971" s="416"/>
      <c r="CF971" s="416"/>
      <c r="CG971" s="416"/>
      <c r="CH971" s="416"/>
      <c r="CI971" s="416"/>
      <c r="CJ971" s="416"/>
      <c r="CK971" s="416"/>
      <c r="CL971" s="416"/>
      <c r="CM971" s="416"/>
      <c r="CN971" s="416"/>
      <c r="CO971" s="416"/>
      <c r="CP971" s="416"/>
      <c r="CQ971" s="416"/>
      <c r="CR971" s="416"/>
      <c r="CS971" s="416"/>
      <c r="CT971" s="416"/>
      <c r="CU971" s="416"/>
      <c r="CV971" s="416"/>
      <c r="CW971" s="416"/>
      <c r="CX971" s="416"/>
      <c r="CY971" s="416"/>
      <c r="CZ971" s="416"/>
      <c r="DA971" s="416"/>
      <c r="DB971" s="416"/>
      <c r="DC971" s="416"/>
      <c r="DD971" s="416"/>
      <c r="DE971" s="416"/>
      <c r="DF971" s="416"/>
      <c r="DG971" s="416"/>
      <c r="DH971" s="416"/>
      <c r="DI971" s="416"/>
      <c r="DJ971" s="416"/>
      <c r="DK971" s="416"/>
      <c r="DL971" s="416"/>
      <c r="DM971" s="416"/>
      <c r="DN971" s="416"/>
      <c r="DO971" s="416"/>
      <c r="DP971" s="416"/>
      <c r="DQ971" s="416"/>
      <c r="DR971" s="416"/>
      <c r="DS971" s="416"/>
      <c r="DT971" s="416"/>
      <c r="DU971" s="416"/>
      <c r="DV971" s="416"/>
      <c r="DW971" s="416"/>
      <c r="DX971" s="416"/>
      <c r="DY971" s="416"/>
      <c r="DZ971" s="416"/>
      <c r="EA971" s="416"/>
      <c r="EB971" s="416"/>
      <c r="EC971" s="416"/>
      <c r="ED971" s="416"/>
      <c r="EE971" s="416"/>
      <c r="EF971" s="416"/>
      <c r="EG971" s="416"/>
      <c r="EH971" s="416"/>
      <c r="EI971" s="416"/>
      <c r="EJ971" s="416"/>
      <c r="EK971" s="416"/>
      <c r="EL971" s="416"/>
      <c r="EM971" s="416"/>
      <c r="EN971" s="416"/>
      <c r="EO971" s="416"/>
      <c r="EP971" s="416"/>
      <c r="EQ971" s="416"/>
      <c r="ER971" s="416"/>
      <c r="ES971" s="416"/>
      <c r="ET971" s="416"/>
      <c r="EU971" s="416"/>
      <c r="EV971" s="416"/>
      <c r="EW971" s="416"/>
      <c r="EX971" s="416"/>
      <c r="EY971" s="416"/>
      <c r="EZ971" s="416"/>
      <c r="FA971" s="416"/>
      <c r="FB971" s="416"/>
      <c r="FC971" s="416"/>
      <c r="FD971" s="416"/>
      <c r="FE971" s="416"/>
      <c r="FF971" s="416"/>
      <c r="FG971" s="416"/>
      <c r="FH971" s="416"/>
      <c r="FI971" s="416"/>
      <c r="FJ971" s="416"/>
      <c r="FK971" s="416"/>
      <c r="FL971" s="416"/>
      <c r="FM971" s="416"/>
      <c r="FN971" s="416"/>
      <c r="FO971" s="416"/>
      <c r="FP971" s="416"/>
      <c r="FQ971" s="416"/>
      <c r="FR971" s="416"/>
      <c r="FS971" s="416"/>
      <c r="FT971" s="416"/>
      <c r="FU971" s="416"/>
      <c r="FV971" s="416"/>
      <c r="FW971" s="416"/>
      <c r="FX971" s="416"/>
      <c r="FY971" s="416"/>
      <c r="FZ971" s="416"/>
      <c r="GA971" s="416"/>
      <c r="GB971" s="416"/>
      <c r="GC971" s="416"/>
      <c r="GD971" s="416"/>
      <c r="GE971" s="416"/>
      <c r="GF971" s="416"/>
      <c r="GG971" s="416"/>
      <c r="GH971" s="416"/>
      <c r="GI971" s="416"/>
      <c r="GJ971" s="416"/>
      <c r="GK971" s="416"/>
      <c r="GL971" s="416"/>
      <c r="GM971" s="416"/>
      <c r="GN971" s="416"/>
      <c r="GO971" s="416"/>
      <c r="GP971" s="416"/>
      <c r="GQ971" s="416"/>
      <c r="GR971" s="416"/>
      <c r="GS971" s="416"/>
      <c r="GT971" s="416"/>
      <c r="GU971" s="416"/>
      <c r="GV971" s="416"/>
      <c r="GW971" s="416"/>
      <c r="GX971" s="416"/>
      <c r="GY971" s="416"/>
      <c r="GZ971" s="416"/>
      <c r="HA971" s="416"/>
      <c r="HB971" s="416"/>
      <c r="HC971" s="416"/>
      <c r="HD971" s="416"/>
      <c r="HE971" s="416"/>
      <c r="HF971" s="416"/>
      <c r="HG971" s="416"/>
      <c r="HH971" s="416"/>
      <c r="HI971" s="416"/>
      <c r="HJ971" s="416"/>
      <c r="HK971" s="416"/>
      <c r="HL971" s="416"/>
      <c r="HM971" s="416"/>
      <c r="HN971" s="416"/>
      <c r="HO971" s="416"/>
      <c r="HP971" s="416"/>
      <c r="HQ971" s="416"/>
      <c r="HR971" s="416"/>
    </row>
    <row r="972" spans="1:226" s="418" customFormat="1" ht="15" hidden="1" customHeight="1">
      <c r="A972" s="1809"/>
      <c r="B972" s="1827"/>
      <c r="C972" s="1815"/>
      <c r="D972" s="1818"/>
      <c r="E972" s="1352" t="s">
        <v>405</v>
      </c>
      <c r="F972" s="1353">
        <f t="shared" ref="F972:F977" si="87">SUM(G972:J972)</f>
        <v>0</v>
      </c>
      <c r="G972" s="1353"/>
      <c r="H972" s="1353"/>
      <c r="I972" s="1353"/>
      <c r="J972" s="1354"/>
      <c r="K972" s="416"/>
    </row>
    <row r="973" spans="1:226" s="418" customFormat="1" ht="14.1" customHeight="1">
      <c r="A973" s="1809"/>
      <c r="B973" s="1827"/>
      <c r="C973" s="1815"/>
      <c r="D973" s="1818"/>
      <c r="E973" s="1358">
        <v>6057</v>
      </c>
      <c r="F973" s="1359">
        <f t="shared" si="87"/>
        <v>41286710</v>
      </c>
      <c r="G973" s="1359"/>
      <c r="H973" s="1359">
        <v>41286710</v>
      </c>
      <c r="I973" s="1359"/>
      <c r="J973" s="1360"/>
      <c r="K973" s="416"/>
    </row>
    <row r="974" spans="1:226" s="418" customFormat="1" ht="14.1" customHeight="1">
      <c r="A974" s="1809"/>
      <c r="B974" s="1827"/>
      <c r="C974" s="1815"/>
      <c r="D974" s="1818"/>
      <c r="E974" s="1358">
        <v>6059</v>
      </c>
      <c r="F974" s="1359">
        <f t="shared" si="87"/>
        <v>7285890</v>
      </c>
      <c r="G974" s="1359">
        <v>7285890</v>
      </c>
      <c r="H974" s="1359"/>
      <c r="I974" s="1359"/>
      <c r="J974" s="1360"/>
      <c r="K974" s="416"/>
    </row>
    <row r="975" spans="1:226" s="418" customFormat="1" ht="14.1" hidden="1" customHeight="1">
      <c r="A975" s="1809"/>
      <c r="B975" s="1827"/>
      <c r="C975" s="1815"/>
      <c r="D975" s="1818"/>
      <c r="E975" s="1358">
        <v>6060</v>
      </c>
      <c r="F975" s="1359">
        <f t="shared" si="87"/>
        <v>0</v>
      </c>
      <c r="G975" s="1359"/>
      <c r="H975" s="1359"/>
      <c r="I975" s="1359"/>
      <c r="J975" s="1360"/>
      <c r="K975" s="416"/>
    </row>
    <row r="976" spans="1:226" s="418" customFormat="1" ht="14.1" hidden="1" customHeight="1">
      <c r="A976" s="1809"/>
      <c r="B976" s="1827"/>
      <c r="C976" s="1815"/>
      <c r="D976" s="1818"/>
      <c r="E976" s="1384" t="s">
        <v>397</v>
      </c>
      <c r="F976" s="1359">
        <f t="shared" si="87"/>
        <v>0</v>
      </c>
      <c r="G976" s="1359"/>
      <c r="H976" s="1359"/>
      <c r="I976" s="1359"/>
      <c r="J976" s="1360"/>
      <c r="K976" s="416"/>
    </row>
    <row r="977" spans="1:226" s="418" customFormat="1" ht="14.1" hidden="1" customHeight="1">
      <c r="A977" s="1810"/>
      <c r="B977" s="1828"/>
      <c r="C977" s="1816"/>
      <c r="D977" s="1819"/>
      <c r="E977" s="1356">
        <v>6069</v>
      </c>
      <c r="F977" s="1357">
        <f t="shared" si="87"/>
        <v>0</v>
      </c>
      <c r="G977" s="1357"/>
      <c r="H977" s="1357"/>
      <c r="I977" s="1357"/>
      <c r="J977" s="1373"/>
      <c r="K977" s="416"/>
    </row>
    <row r="978" spans="1:226" s="418" customFormat="1" ht="22.5">
      <c r="A978" s="1809" t="s">
        <v>457</v>
      </c>
      <c r="B978" s="1827" t="s">
        <v>505</v>
      </c>
      <c r="C978" s="1815">
        <v>600</v>
      </c>
      <c r="D978" s="1818" t="s">
        <v>482</v>
      </c>
      <c r="E978" s="1340" t="s">
        <v>322</v>
      </c>
      <c r="F978" s="1341">
        <f>SUM(F979,F986)</f>
        <v>13415139</v>
      </c>
      <c r="G978" s="1341">
        <f>SUM(G979,G986)</f>
        <v>2353898</v>
      </c>
      <c r="H978" s="1341">
        <f>SUM(H979,H986)</f>
        <v>11061241</v>
      </c>
      <c r="I978" s="1341">
        <f>SUM(I979,I986)</f>
        <v>0</v>
      </c>
      <c r="J978" s="1342">
        <f>SUM(J979,J986)</f>
        <v>0</v>
      </c>
      <c r="K978" s="416"/>
    </row>
    <row r="979" spans="1:226" s="418" customFormat="1" ht="14.25" customHeight="1">
      <c r="A979" s="1809"/>
      <c r="B979" s="1827"/>
      <c r="C979" s="1815"/>
      <c r="D979" s="1818"/>
      <c r="E979" s="1346" t="s">
        <v>323</v>
      </c>
      <c r="F979" s="1347">
        <f>SUM(F980,F983)</f>
        <v>0</v>
      </c>
      <c r="G979" s="1347">
        <f>SUM(G980,G983)</f>
        <v>0</v>
      </c>
      <c r="H979" s="1347">
        <f>SUM(H980,H983)</f>
        <v>0</v>
      </c>
      <c r="I979" s="1347">
        <f>SUM(I980,I983)</f>
        <v>0</v>
      </c>
      <c r="J979" s="1348">
        <f>SUM(J980,J983)</f>
        <v>0</v>
      </c>
      <c r="K979" s="416"/>
    </row>
    <row r="980" spans="1:226" s="418" customFormat="1" ht="24.95" hidden="1" customHeight="1">
      <c r="A980" s="1809"/>
      <c r="B980" s="1827"/>
      <c r="C980" s="1815"/>
      <c r="D980" s="1818"/>
      <c r="E980" s="1349" t="s">
        <v>335</v>
      </c>
      <c r="F980" s="1350">
        <f>SUM(F981:F982)</f>
        <v>0</v>
      </c>
      <c r="G980" s="1350">
        <f>SUM(G981:G982)</f>
        <v>0</v>
      </c>
      <c r="H980" s="1350">
        <f>SUM(H981:H982)</f>
        <v>0</v>
      </c>
      <c r="I980" s="1350">
        <f>SUM(I981:I982)</f>
        <v>0</v>
      </c>
      <c r="J980" s="1351">
        <f>SUM(J981:J982)</f>
        <v>0</v>
      </c>
      <c r="K980" s="416"/>
    </row>
    <row r="981" spans="1:226" s="418" customFormat="1" ht="15" hidden="1" customHeight="1">
      <c r="A981" s="1809"/>
      <c r="B981" s="1827"/>
      <c r="C981" s="1815"/>
      <c r="D981" s="1818"/>
      <c r="E981" s="1352"/>
      <c r="F981" s="1353">
        <f>SUM(G981:J981)</f>
        <v>0</v>
      </c>
      <c r="G981" s="1353"/>
      <c r="H981" s="1353"/>
      <c r="I981" s="1353"/>
      <c r="J981" s="1354"/>
      <c r="K981" s="416"/>
    </row>
    <row r="982" spans="1:226" s="418" customFormat="1" ht="15" hidden="1" customHeight="1">
      <c r="A982" s="1809"/>
      <c r="B982" s="1827"/>
      <c r="C982" s="1815"/>
      <c r="D982" s="1818"/>
      <c r="E982" s="1352"/>
      <c r="F982" s="1353">
        <f>SUM(G982:J982)</f>
        <v>0</v>
      </c>
      <c r="G982" s="1353"/>
      <c r="H982" s="1353"/>
      <c r="I982" s="1353"/>
      <c r="J982" s="1354"/>
      <c r="K982" s="416"/>
    </row>
    <row r="983" spans="1:226" s="418" customFormat="1" ht="24.95" hidden="1" customHeight="1">
      <c r="A983" s="1809"/>
      <c r="B983" s="1827"/>
      <c r="C983" s="1815"/>
      <c r="D983" s="1818"/>
      <c r="E983" s="1349" t="s">
        <v>340</v>
      </c>
      <c r="F983" s="1350">
        <f>SUM(F984:F985)</f>
        <v>0</v>
      </c>
      <c r="G983" s="1350">
        <f>SUM(G984:G985)</f>
        <v>0</v>
      </c>
      <c r="H983" s="1350">
        <f>SUM(H984:H985)</f>
        <v>0</v>
      </c>
      <c r="I983" s="1350">
        <f>SUM(I984:I985)</f>
        <v>0</v>
      </c>
      <c r="J983" s="1351">
        <f>SUM(J984:J985)</f>
        <v>0</v>
      </c>
      <c r="K983" s="416"/>
    </row>
    <row r="984" spans="1:226" s="418" customFormat="1" ht="15" hidden="1" customHeight="1">
      <c r="A984" s="1809"/>
      <c r="B984" s="1827"/>
      <c r="C984" s="1815"/>
      <c r="D984" s="1818"/>
      <c r="E984" s="1352"/>
      <c r="F984" s="1353">
        <f>SUM(G984:J984)</f>
        <v>0</v>
      </c>
      <c r="G984" s="1353"/>
      <c r="H984" s="1353"/>
      <c r="I984" s="1353"/>
      <c r="J984" s="1354"/>
      <c r="K984" s="416"/>
    </row>
    <row r="985" spans="1:226" s="418" customFormat="1" ht="15" hidden="1" customHeight="1">
      <c r="A985" s="1809"/>
      <c r="B985" s="1827"/>
      <c r="C985" s="1815"/>
      <c r="D985" s="1818"/>
      <c r="E985" s="1352"/>
      <c r="F985" s="1353">
        <f>SUM(G985:J985)</f>
        <v>0</v>
      </c>
      <c r="G985" s="1353"/>
      <c r="H985" s="1353"/>
      <c r="I985" s="1353"/>
      <c r="J985" s="1354"/>
      <c r="K985" s="416"/>
    </row>
    <row r="986" spans="1:226" s="418" customFormat="1" ht="14.1" customHeight="1">
      <c r="A986" s="1809"/>
      <c r="B986" s="1827"/>
      <c r="C986" s="1815"/>
      <c r="D986" s="1818"/>
      <c r="E986" s="1355" t="s">
        <v>324</v>
      </c>
      <c r="F986" s="1347">
        <f>SUM(F987:F992)</f>
        <v>13415139</v>
      </c>
      <c r="G986" s="1347">
        <f>SUM(G987:G992)</f>
        <v>2353898</v>
      </c>
      <c r="H986" s="1347">
        <f>SUM(H987:H992)</f>
        <v>11061241</v>
      </c>
      <c r="I986" s="1347">
        <f>SUM(I987:I992)</f>
        <v>0</v>
      </c>
      <c r="J986" s="1348">
        <f>SUM(J987:J992)</f>
        <v>0</v>
      </c>
      <c r="K986" s="416"/>
      <c r="L986" s="416"/>
      <c r="M986" s="416"/>
      <c r="N986" s="416"/>
      <c r="O986" s="416"/>
      <c r="P986" s="416"/>
      <c r="Q986" s="416"/>
      <c r="R986" s="416"/>
      <c r="S986" s="416"/>
      <c r="T986" s="416"/>
      <c r="U986" s="416"/>
      <c r="V986" s="416"/>
      <c r="W986" s="416"/>
      <c r="X986" s="416"/>
      <c r="Y986" s="416"/>
      <c r="Z986" s="416"/>
      <c r="AA986" s="416"/>
      <c r="AB986" s="416"/>
      <c r="AC986" s="416"/>
      <c r="AD986" s="416"/>
      <c r="AE986" s="416"/>
      <c r="AF986" s="416"/>
      <c r="AG986" s="416"/>
      <c r="AH986" s="416"/>
      <c r="AI986" s="416"/>
      <c r="AJ986" s="416"/>
      <c r="AK986" s="416"/>
      <c r="AL986" s="416"/>
      <c r="AM986" s="416"/>
      <c r="AN986" s="416"/>
      <c r="AO986" s="416"/>
      <c r="AP986" s="416"/>
      <c r="AQ986" s="416"/>
      <c r="AR986" s="416"/>
      <c r="AS986" s="416"/>
      <c r="AT986" s="416"/>
      <c r="AU986" s="416"/>
      <c r="AV986" s="416"/>
      <c r="AW986" s="416"/>
      <c r="AX986" s="416"/>
      <c r="AY986" s="416"/>
      <c r="AZ986" s="416"/>
      <c r="BA986" s="416"/>
      <c r="BB986" s="416"/>
      <c r="BC986" s="416"/>
      <c r="BD986" s="416"/>
      <c r="BE986" s="416"/>
      <c r="BF986" s="416"/>
      <c r="BG986" s="416"/>
      <c r="BH986" s="416"/>
      <c r="BI986" s="416"/>
      <c r="BJ986" s="416"/>
      <c r="BK986" s="416"/>
      <c r="BL986" s="416"/>
      <c r="BM986" s="416"/>
      <c r="BN986" s="416"/>
      <c r="BO986" s="416"/>
      <c r="BP986" s="416"/>
      <c r="BQ986" s="416"/>
      <c r="BR986" s="416"/>
      <c r="BS986" s="416"/>
      <c r="BT986" s="416"/>
      <c r="BU986" s="416"/>
      <c r="BV986" s="416"/>
      <c r="BW986" s="416"/>
      <c r="BX986" s="416"/>
      <c r="BY986" s="416"/>
      <c r="BZ986" s="416"/>
      <c r="CA986" s="416"/>
      <c r="CB986" s="416"/>
      <c r="CC986" s="416"/>
      <c r="CD986" s="416"/>
      <c r="CE986" s="416"/>
      <c r="CF986" s="416"/>
      <c r="CG986" s="416"/>
      <c r="CH986" s="416"/>
      <c r="CI986" s="416"/>
      <c r="CJ986" s="416"/>
      <c r="CK986" s="416"/>
      <c r="CL986" s="416"/>
      <c r="CM986" s="416"/>
      <c r="CN986" s="416"/>
      <c r="CO986" s="416"/>
      <c r="CP986" s="416"/>
      <c r="CQ986" s="416"/>
      <c r="CR986" s="416"/>
      <c r="CS986" s="416"/>
      <c r="CT986" s="416"/>
      <c r="CU986" s="416"/>
      <c r="CV986" s="416"/>
      <c r="CW986" s="416"/>
      <c r="CX986" s="416"/>
      <c r="CY986" s="416"/>
      <c r="CZ986" s="416"/>
      <c r="DA986" s="416"/>
      <c r="DB986" s="416"/>
      <c r="DC986" s="416"/>
      <c r="DD986" s="416"/>
      <c r="DE986" s="416"/>
      <c r="DF986" s="416"/>
      <c r="DG986" s="416"/>
      <c r="DH986" s="416"/>
      <c r="DI986" s="416"/>
      <c r="DJ986" s="416"/>
      <c r="DK986" s="416"/>
      <c r="DL986" s="416"/>
      <c r="DM986" s="416"/>
      <c r="DN986" s="416"/>
      <c r="DO986" s="416"/>
      <c r="DP986" s="416"/>
      <c r="DQ986" s="416"/>
      <c r="DR986" s="416"/>
      <c r="DS986" s="416"/>
      <c r="DT986" s="416"/>
      <c r="DU986" s="416"/>
      <c r="DV986" s="416"/>
      <c r="DW986" s="416"/>
      <c r="DX986" s="416"/>
      <c r="DY986" s="416"/>
      <c r="DZ986" s="416"/>
      <c r="EA986" s="416"/>
      <c r="EB986" s="416"/>
      <c r="EC986" s="416"/>
      <c r="ED986" s="416"/>
      <c r="EE986" s="416"/>
      <c r="EF986" s="416"/>
      <c r="EG986" s="416"/>
      <c r="EH986" s="416"/>
      <c r="EI986" s="416"/>
      <c r="EJ986" s="416"/>
      <c r="EK986" s="416"/>
      <c r="EL986" s="416"/>
      <c r="EM986" s="416"/>
      <c r="EN986" s="416"/>
      <c r="EO986" s="416"/>
      <c r="EP986" s="416"/>
      <c r="EQ986" s="416"/>
      <c r="ER986" s="416"/>
      <c r="ES986" s="416"/>
      <c r="ET986" s="416"/>
      <c r="EU986" s="416"/>
      <c r="EV986" s="416"/>
      <c r="EW986" s="416"/>
      <c r="EX986" s="416"/>
      <c r="EY986" s="416"/>
      <c r="EZ986" s="416"/>
      <c r="FA986" s="416"/>
      <c r="FB986" s="416"/>
      <c r="FC986" s="416"/>
      <c r="FD986" s="416"/>
      <c r="FE986" s="416"/>
      <c r="FF986" s="416"/>
      <c r="FG986" s="416"/>
      <c r="FH986" s="416"/>
      <c r="FI986" s="416"/>
      <c r="FJ986" s="416"/>
      <c r="FK986" s="416"/>
      <c r="FL986" s="416"/>
      <c r="FM986" s="416"/>
      <c r="FN986" s="416"/>
      <c r="FO986" s="416"/>
      <c r="FP986" s="416"/>
      <c r="FQ986" s="416"/>
      <c r="FR986" s="416"/>
      <c r="FS986" s="416"/>
      <c r="FT986" s="416"/>
      <c r="FU986" s="416"/>
      <c r="FV986" s="416"/>
      <c r="FW986" s="416"/>
      <c r="FX986" s="416"/>
      <c r="FY986" s="416"/>
      <c r="FZ986" s="416"/>
      <c r="GA986" s="416"/>
      <c r="GB986" s="416"/>
      <c r="GC986" s="416"/>
      <c r="GD986" s="416"/>
      <c r="GE986" s="416"/>
      <c r="GF986" s="416"/>
      <c r="GG986" s="416"/>
      <c r="GH986" s="416"/>
      <c r="GI986" s="416"/>
      <c r="GJ986" s="416"/>
      <c r="GK986" s="416"/>
      <c r="GL986" s="416"/>
      <c r="GM986" s="416"/>
      <c r="GN986" s="416"/>
      <c r="GO986" s="416"/>
      <c r="GP986" s="416"/>
      <c r="GQ986" s="416"/>
      <c r="GR986" s="416"/>
      <c r="GS986" s="416"/>
      <c r="GT986" s="416"/>
      <c r="GU986" s="416"/>
      <c r="GV986" s="416"/>
      <c r="GW986" s="416"/>
      <c r="GX986" s="416"/>
      <c r="GY986" s="416"/>
      <c r="GZ986" s="416"/>
      <c r="HA986" s="416"/>
      <c r="HB986" s="416"/>
      <c r="HC986" s="416"/>
      <c r="HD986" s="416"/>
      <c r="HE986" s="416"/>
      <c r="HF986" s="416"/>
      <c r="HG986" s="416"/>
      <c r="HH986" s="416"/>
      <c r="HI986" s="416"/>
      <c r="HJ986" s="416"/>
      <c r="HK986" s="416"/>
      <c r="HL986" s="416"/>
      <c r="HM986" s="416"/>
      <c r="HN986" s="416"/>
      <c r="HO986" s="416"/>
      <c r="HP986" s="416"/>
      <c r="HQ986" s="416"/>
      <c r="HR986" s="416"/>
    </row>
    <row r="987" spans="1:226" s="418" customFormat="1" ht="12" hidden="1">
      <c r="A987" s="1809"/>
      <c r="B987" s="1827"/>
      <c r="C987" s="1815"/>
      <c r="D987" s="1818"/>
      <c r="E987" s="1352" t="s">
        <v>405</v>
      </c>
      <c r="F987" s="1353">
        <f t="shared" ref="F987:F992" si="88">SUM(G987:J987)</f>
        <v>0</v>
      </c>
      <c r="G987" s="1353"/>
      <c r="H987" s="1353"/>
      <c r="I987" s="1353"/>
      <c r="J987" s="1354"/>
      <c r="K987" s="416"/>
    </row>
    <row r="988" spans="1:226" s="418" customFormat="1" ht="14.1" customHeight="1">
      <c r="A988" s="1809"/>
      <c r="B988" s="1827"/>
      <c r="C988" s="1815"/>
      <c r="D988" s="1818"/>
      <c r="E988" s="1358">
        <v>6057</v>
      </c>
      <c r="F988" s="1359">
        <f t="shared" si="88"/>
        <v>11061241</v>
      </c>
      <c r="G988" s="1359"/>
      <c r="H988" s="1359">
        <v>11061241</v>
      </c>
      <c r="I988" s="1359"/>
      <c r="J988" s="1360"/>
      <c r="K988" s="416"/>
    </row>
    <row r="989" spans="1:226" s="418" customFormat="1" ht="14.1" customHeight="1" thickBot="1">
      <c r="A989" s="1809"/>
      <c r="B989" s="1827"/>
      <c r="C989" s="1815"/>
      <c r="D989" s="1818"/>
      <c r="E989" s="1358">
        <v>6059</v>
      </c>
      <c r="F989" s="1359">
        <f t="shared" si="88"/>
        <v>2353898</v>
      </c>
      <c r="G989" s="1359">
        <v>2353898</v>
      </c>
      <c r="H989" s="1359"/>
      <c r="I989" s="1359"/>
      <c r="J989" s="1360"/>
      <c r="K989" s="416"/>
    </row>
    <row r="990" spans="1:226" s="418" customFormat="1" ht="14.1" hidden="1" customHeight="1">
      <c r="A990" s="1809"/>
      <c r="B990" s="1827"/>
      <c r="C990" s="1815"/>
      <c r="D990" s="1818"/>
      <c r="E990" s="1358">
        <v>6060</v>
      </c>
      <c r="F990" s="1359">
        <f t="shared" si="88"/>
        <v>0</v>
      </c>
      <c r="G990" s="1359"/>
      <c r="H990" s="1359"/>
      <c r="I990" s="1359"/>
      <c r="J990" s="1360"/>
      <c r="K990" s="416"/>
    </row>
    <row r="991" spans="1:226" s="418" customFormat="1" ht="14.1" hidden="1" customHeight="1">
      <c r="A991" s="1809"/>
      <c r="B991" s="1827"/>
      <c r="C991" s="1815"/>
      <c r="D991" s="1818"/>
      <c r="E991" s="1384" t="s">
        <v>397</v>
      </c>
      <c r="F991" s="1359">
        <f t="shared" si="88"/>
        <v>0</v>
      </c>
      <c r="G991" s="1359"/>
      <c r="H991" s="1359"/>
      <c r="I991" s="1359"/>
      <c r="J991" s="1360"/>
      <c r="K991" s="416"/>
    </row>
    <row r="992" spans="1:226" s="418" customFormat="1" ht="14.1" hidden="1" customHeight="1">
      <c r="A992" s="1809"/>
      <c r="B992" s="1827"/>
      <c r="C992" s="1815"/>
      <c r="D992" s="1818"/>
      <c r="E992" s="1358">
        <v>6069</v>
      </c>
      <c r="F992" s="1359">
        <f t="shared" si="88"/>
        <v>0</v>
      </c>
      <c r="G992" s="1359"/>
      <c r="H992" s="1359"/>
      <c r="I992" s="1359"/>
      <c r="J992" s="1360"/>
      <c r="K992" s="416"/>
    </row>
    <row r="993" spans="1:226" s="418" customFormat="1" ht="22.5">
      <c r="A993" s="1808" t="s">
        <v>459</v>
      </c>
      <c r="B993" s="1826" t="s">
        <v>506</v>
      </c>
      <c r="C993" s="1814">
        <v>600</v>
      </c>
      <c r="D993" s="1817" t="s">
        <v>482</v>
      </c>
      <c r="E993" s="1361" t="s">
        <v>322</v>
      </c>
      <c r="F993" s="1362">
        <f>SUM(F994,F1001)</f>
        <v>4757888</v>
      </c>
      <c r="G993" s="1362">
        <f>SUM(G994,G1001)</f>
        <v>1515936</v>
      </c>
      <c r="H993" s="1362">
        <f>SUM(H994,H1001)</f>
        <v>3241952</v>
      </c>
      <c r="I993" s="1362">
        <f>SUM(I994,I1001)</f>
        <v>0</v>
      </c>
      <c r="J993" s="1363">
        <f>SUM(J994,J1001)</f>
        <v>0</v>
      </c>
      <c r="K993" s="416"/>
    </row>
    <row r="994" spans="1:226" s="418" customFormat="1" ht="14.25" customHeight="1">
      <c r="A994" s="1809"/>
      <c r="B994" s="1827"/>
      <c r="C994" s="1815"/>
      <c r="D994" s="1818"/>
      <c r="E994" s="1346" t="s">
        <v>323</v>
      </c>
      <c r="F994" s="1347">
        <f>SUM(F995,F998)</f>
        <v>0</v>
      </c>
      <c r="G994" s="1347">
        <f>SUM(G995,G998)</f>
        <v>0</v>
      </c>
      <c r="H994" s="1347">
        <f>SUM(H995,H998)</f>
        <v>0</v>
      </c>
      <c r="I994" s="1347">
        <f>SUM(I995,I998)</f>
        <v>0</v>
      </c>
      <c r="J994" s="1348">
        <f>SUM(J995,J998)</f>
        <v>0</v>
      </c>
      <c r="K994" s="416"/>
    </row>
    <row r="995" spans="1:226" s="418" customFormat="1" ht="24.95" hidden="1" customHeight="1">
      <c r="A995" s="1809"/>
      <c r="B995" s="1827"/>
      <c r="C995" s="1815"/>
      <c r="D995" s="1818"/>
      <c r="E995" s="1349" t="s">
        <v>335</v>
      </c>
      <c r="F995" s="1350">
        <f>SUM(F996:F997)</f>
        <v>0</v>
      </c>
      <c r="G995" s="1350">
        <f>SUM(G996:G997)</f>
        <v>0</v>
      </c>
      <c r="H995" s="1350">
        <f>SUM(H996:H997)</f>
        <v>0</v>
      </c>
      <c r="I995" s="1350">
        <f>SUM(I996:I997)</f>
        <v>0</v>
      </c>
      <c r="J995" s="1351">
        <f>SUM(J996:J997)</f>
        <v>0</v>
      </c>
      <c r="K995" s="416"/>
    </row>
    <row r="996" spans="1:226" s="418" customFormat="1" ht="15" hidden="1" customHeight="1">
      <c r="A996" s="1809"/>
      <c r="B996" s="1827"/>
      <c r="C996" s="1815"/>
      <c r="D996" s="1818"/>
      <c r="E996" s="1352"/>
      <c r="F996" s="1353">
        <f>SUM(G996:J996)</f>
        <v>0</v>
      </c>
      <c r="G996" s="1353"/>
      <c r="H996" s="1353"/>
      <c r="I996" s="1353"/>
      <c r="J996" s="1354"/>
      <c r="K996" s="416"/>
    </row>
    <row r="997" spans="1:226" s="418" customFormat="1" ht="15" hidden="1" customHeight="1">
      <c r="A997" s="1809"/>
      <c r="B997" s="1827"/>
      <c r="C997" s="1815"/>
      <c r="D997" s="1818"/>
      <c r="E997" s="1352"/>
      <c r="F997" s="1353">
        <f>SUM(G997:J997)</f>
        <v>0</v>
      </c>
      <c r="G997" s="1353"/>
      <c r="H997" s="1353"/>
      <c r="I997" s="1353"/>
      <c r="J997" s="1354"/>
      <c r="K997" s="416"/>
    </row>
    <row r="998" spans="1:226" s="418" customFormat="1" ht="24.95" hidden="1" customHeight="1">
      <c r="A998" s="1809"/>
      <c r="B998" s="1827"/>
      <c r="C998" s="1815"/>
      <c r="D998" s="1818"/>
      <c r="E998" s="1349" t="s">
        <v>340</v>
      </c>
      <c r="F998" s="1350">
        <f>SUM(F999:F1000)</f>
        <v>0</v>
      </c>
      <c r="G998" s="1350">
        <f>SUM(G999:G1000)</f>
        <v>0</v>
      </c>
      <c r="H998" s="1350">
        <f>SUM(H999:H1000)</f>
        <v>0</v>
      </c>
      <c r="I998" s="1350">
        <f>SUM(I999:I1000)</f>
        <v>0</v>
      </c>
      <c r="J998" s="1351">
        <f>SUM(J999:J1000)</f>
        <v>0</v>
      </c>
      <c r="K998" s="416"/>
    </row>
    <row r="999" spans="1:226" s="418" customFormat="1" ht="15" hidden="1" customHeight="1">
      <c r="A999" s="1809"/>
      <c r="B999" s="1827"/>
      <c r="C999" s="1815"/>
      <c r="D999" s="1818"/>
      <c r="E999" s="1352"/>
      <c r="F999" s="1353">
        <f>SUM(G999:J999)</f>
        <v>0</v>
      </c>
      <c r="G999" s="1353"/>
      <c r="H999" s="1353"/>
      <c r="I999" s="1353"/>
      <c r="J999" s="1354"/>
      <c r="K999" s="416"/>
    </row>
    <row r="1000" spans="1:226" s="418" customFormat="1" ht="15" hidden="1" customHeight="1">
      <c r="A1000" s="1809"/>
      <c r="B1000" s="1827"/>
      <c r="C1000" s="1815"/>
      <c r="D1000" s="1818"/>
      <c r="E1000" s="1352"/>
      <c r="F1000" s="1353">
        <f>SUM(G1000:J1000)</f>
        <v>0</v>
      </c>
      <c r="G1000" s="1353"/>
      <c r="H1000" s="1353"/>
      <c r="I1000" s="1353"/>
      <c r="J1000" s="1354"/>
      <c r="K1000" s="416"/>
    </row>
    <row r="1001" spans="1:226" s="418" customFormat="1" ht="12">
      <c r="A1001" s="1809"/>
      <c r="B1001" s="1827"/>
      <c r="C1001" s="1815"/>
      <c r="D1001" s="1818"/>
      <c r="E1001" s="1355" t="s">
        <v>324</v>
      </c>
      <c r="F1001" s="1347">
        <f>SUM(F1002:F1007)</f>
        <v>4757888</v>
      </c>
      <c r="G1001" s="1347">
        <f>SUM(G1002:G1007)</f>
        <v>1515936</v>
      </c>
      <c r="H1001" s="1347">
        <f>SUM(H1002:H1007)</f>
        <v>3241952</v>
      </c>
      <c r="I1001" s="1347">
        <f>SUM(I1002:I1007)</f>
        <v>0</v>
      </c>
      <c r="J1001" s="1348">
        <f>SUM(J1002:J1007)</f>
        <v>0</v>
      </c>
      <c r="K1001" s="416"/>
      <c r="L1001" s="416"/>
      <c r="M1001" s="416"/>
      <c r="N1001" s="416"/>
      <c r="O1001" s="416"/>
      <c r="P1001" s="416"/>
      <c r="Q1001" s="416"/>
      <c r="R1001" s="416"/>
      <c r="S1001" s="416"/>
      <c r="T1001" s="416"/>
      <c r="U1001" s="416"/>
      <c r="V1001" s="416"/>
      <c r="W1001" s="416"/>
      <c r="X1001" s="416"/>
      <c r="Y1001" s="416"/>
      <c r="Z1001" s="416"/>
      <c r="AA1001" s="416"/>
      <c r="AB1001" s="416"/>
      <c r="AC1001" s="416"/>
      <c r="AD1001" s="416"/>
      <c r="AE1001" s="416"/>
      <c r="AF1001" s="416"/>
      <c r="AG1001" s="416"/>
      <c r="AH1001" s="416"/>
      <c r="AI1001" s="416"/>
      <c r="AJ1001" s="416"/>
      <c r="AK1001" s="416"/>
      <c r="AL1001" s="416"/>
      <c r="AM1001" s="416"/>
      <c r="AN1001" s="416"/>
      <c r="AO1001" s="416"/>
      <c r="AP1001" s="416"/>
      <c r="AQ1001" s="416"/>
      <c r="AR1001" s="416"/>
      <c r="AS1001" s="416"/>
      <c r="AT1001" s="416"/>
      <c r="AU1001" s="416"/>
      <c r="AV1001" s="416"/>
      <c r="AW1001" s="416"/>
      <c r="AX1001" s="416"/>
      <c r="AY1001" s="416"/>
      <c r="AZ1001" s="416"/>
      <c r="BA1001" s="416"/>
      <c r="BB1001" s="416"/>
      <c r="BC1001" s="416"/>
      <c r="BD1001" s="416"/>
      <c r="BE1001" s="416"/>
      <c r="BF1001" s="416"/>
      <c r="BG1001" s="416"/>
      <c r="BH1001" s="416"/>
      <c r="BI1001" s="416"/>
      <c r="BJ1001" s="416"/>
      <c r="BK1001" s="416"/>
      <c r="BL1001" s="416"/>
      <c r="BM1001" s="416"/>
      <c r="BN1001" s="416"/>
      <c r="BO1001" s="416"/>
      <c r="BP1001" s="416"/>
      <c r="BQ1001" s="416"/>
      <c r="BR1001" s="416"/>
      <c r="BS1001" s="416"/>
      <c r="BT1001" s="416"/>
      <c r="BU1001" s="416"/>
      <c r="BV1001" s="416"/>
      <c r="BW1001" s="416"/>
      <c r="BX1001" s="416"/>
      <c r="BY1001" s="416"/>
      <c r="BZ1001" s="416"/>
      <c r="CA1001" s="416"/>
      <c r="CB1001" s="416"/>
      <c r="CC1001" s="416"/>
      <c r="CD1001" s="416"/>
      <c r="CE1001" s="416"/>
      <c r="CF1001" s="416"/>
      <c r="CG1001" s="416"/>
      <c r="CH1001" s="416"/>
      <c r="CI1001" s="416"/>
      <c r="CJ1001" s="416"/>
      <c r="CK1001" s="416"/>
      <c r="CL1001" s="416"/>
      <c r="CM1001" s="416"/>
      <c r="CN1001" s="416"/>
      <c r="CO1001" s="416"/>
      <c r="CP1001" s="416"/>
      <c r="CQ1001" s="416"/>
      <c r="CR1001" s="416"/>
      <c r="CS1001" s="416"/>
      <c r="CT1001" s="416"/>
      <c r="CU1001" s="416"/>
      <c r="CV1001" s="416"/>
      <c r="CW1001" s="416"/>
      <c r="CX1001" s="416"/>
      <c r="CY1001" s="416"/>
      <c r="CZ1001" s="416"/>
      <c r="DA1001" s="416"/>
      <c r="DB1001" s="416"/>
      <c r="DC1001" s="416"/>
      <c r="DD1001" s="416"/>
      <c r="DE1001" s="416"/>
      <c r="DF1001" s="416"/>
      <c r="DG1001" s="416"/>
      <c r="DH1001" s="416"/>
      <c r="DI1001" s="416"/>
      <c r="DJ1001" s="416"/>
      <c r="DK1001" s="416"/>
      <c r="DL1001" s="416"/>
      <c r="DM1001" s="416"/>
      <c r="DN1001" s="416"/>
      <c r="DO1001" s="416"/>
      <c r="DP1001" s="416"/>
      <c r="DQ1001" s="416"/>
      <c r="DR1001" s="416"/>
      <c r="DS1001" s="416"/>
      <c r="DT1001" s="416"/>
      <c r="DU1001" s="416"/>
      <c r="DV1001" s="416"/>
      <c r="DW1001" s="416"/>
      <c r="DX1001" s="416"/>
      <c r="DY1001" s="416"/>
      <c r="DZ1001" s="416"/>
      <c r="EA1001" s="416"/>
      <c r="EB1001" s="416"/>
      <c r="EC1001" s="416"/>
      <c r="ED1001" s="416"/>
      <c r="EE1001" s="416"/>
      <c r="EF1001" s="416"/>
      <c r="EG1001" s="416"/>
      <c r="EH1001" s="416"/>
      <c r="EI1001" s="416"/>
      <c r="EJ1001" s="416"/>
      <c r="EK1001" s="416"/>
      <c r="EL1001" s="416"/>
      <c r="EM1001" s="416"/>
      <c r="EN1001" s="416"/>
      <c r="EO1001" s="416"/>
      <c r="EP1001" s="416"/>
      <c r="EQ1001" s="416"/>
      <c r="ER1001" s="416"/>
      <c r="ES1001" s="416"/>
      <c r="ET1001" s="416"/>
      <c r="EU1001" s="416"/>
      <c r="EV1001" s="416"/>
      <c r="EW1001" s="416"/>
      <c r="EX1001" s="416"/>
      <c r="EY1001" s="416"/>
      <c r="EZ1001" s="416"/>
      <c r="FA1001" s="416"/>
      <c r="FB1001" s="416"/>
      <c r="FC1001" s="416"/>
      <c r="FD1001" s="416"/>
      <c r="FE1001" s="416"/>
      <c r="FF1001" s="416"/>
      <c r="FG1001" s="416"/>
      <c r="FH1001" s="416"/>
      <c r="FI1001" s="416"/>
      <c r="FJ1001" s="416"/>
      <c r="FK1001" s="416"/>
      <c r="FL1001" s="416"/>
      <c r="FM1001" s="416"/>
      <c r="FN1001" s="416"/>
      <c r="FO1001" s="416"/>
      <c r="FP1001" s="416"/>
      <c r="FQ1001" s="416"/>
      <c r="FR1001" s="416"/>
      <c r="FS1001" s="416"/>
      <c r="FT1001" s="416"/>
      <c r="FU1001" s="416"/>
      <c r="FV1001" s="416"/>
      <c r="FW1001" s="416"/>
      <c r="FX1001" s="416"/>
      <c r="FY1001" s="416"/>
      <c r="FZ1001" s="416"/>
      <c r="GA1001" s="416"/>
      <c r="GB1001" s="416"/>
      <c r="GC1001" s="416"/>
      <c r="GD1001" s="416"/>
      <c r="GE1001" s="416"/>
      <c r="GF1001" s="416"/>
      <c r="GG1001" s="416"/>
      <c r="GH1001" s="416"/>
      <c r="GI1001" s="416"/>
      <c r="GJ1001" s="416"/>
      <c r="GK1001" s="416"/>
      <c r="GL1001" s="416"/>
      <c r="GM1001" s="416"/>
      <c r="GN1001" s="416"/>
      <c r="GO1001" s="416"/>
      <c r="GP1001" s="416"/>
      <c r="GQ1001" s="416"/>
      <c r="GR1001" s="416"/>
      <c r="GS1001" s="416"/>
      <c r="GT1001" s="416"/>
      <c r="GU1001" s="416"/>
      <c r="GV1001" s="416"/>
      <c r="GW1001" s="416"/>
      <c r="GX1001" s="416"/>
      <c r="GY1001" s="416"/>
      <c r="GZ1001" s="416"/>
      <c r="HA1001" s="416"/>
      <c r="HB1001" s="416"/>
      <c r="HC1001" s="416"/>
      <c r="HD1001" s="416"/>
      <c r="HE1001" s="416"/>
      <c r="HF1001" s="416"/>
      <c r="HG1001" s="416"/>
      <c r="HH1001" s="416"/>
      <c r="HI1001" s="416"/>
      <c r="HJ1001" s="416"/>
      <c r="HK1001" s="416"/>
      <c r="HL1001" s="416"/>
      <c r="HM1001" s="416"/>
      <c r="HN1001" s="416"/>
      <c r="HO1001" s="416"/>
      <c r="HP1001" s="416"/>
      <c r="HQ1001" s="416"/>
      <c r="HR1001" s="416"/>
    </row>
    <row r="1002" spans="1:226" s="418" customFormat="1" ht="14.1" hidden="1" customHeight="1">
      <c r="A1002" s="1809"/>
      <c r="B1002" s="1827"/>
      <c r="C1002" s="1815"/>
      <c r="D1002" s="1818"/>
      <c r="E1002" s="1352" t="s">
        <v>405</v>
      </c>
      <c r="F1002" s="1353">
        <f t="shared" ref="F1002:F1007" si="89">SUM(G1002:J1002)</f>
        <v>0</v>
      </c>
      <c r="G1002" s="1353"/>
      <c r="H1002" s="1353"/>
      <c r="I1002" s="1353"/>
      <c r="J1002" s="1354"/>
      <c r="K1002" s="416"/>
    </row>
    <row r="1003" spans="1:226" s="418" customFormat="1" ht="14.1" customHeight="1">
      <c r="A1003" s="1809"/>
      <c r="B1003" s="1827"/>
      <c r="C1003" s="1815"/>
      <c r="D1003" s="1818"/>
      <c r="E1003" s="1358">
        <v>6057</v>
      </c>
      <c r="F1003" s="1359">
        <f t="shared" si="89"/>
        <v>3241952</v>
      </c>
      <c r="G1003" s="1359"/>
      <c r="H1003" s="1359">
        <v>3241952</v>
      </c>
      <c r="I1003" s="1359"/>
      <c r="J1003" s="1360"/>
      <c r="K1003" s="416"/>
    </row>
    <row r="1004" spans="1:226" s="418" customFormat="1" ht="14.1" customHeight="1" thickBot="1">
      <c r="A1004" s="1809"/>
      <c r="B1004" s="1827"/>
      <c r="C1004" s="1815"/>
      <c r="D1004" s="1818"/>
      <c r="E1004" s="1358">
        <v>6059</v>
      </c>
      <c r="F1004" s="1359">
        <f t="shared" si="89"/>
        <v>1515936</v>
      </c>
      <c r="G1004" s="1359">
        <v>1515936</v>
      </c>
      <c r="H1004" s="1359"/>
      <c r="I1004" s="1359"/>
      <c r="J1004" s="1360"/>
      <c r="K1004" s="416"/>
    </row>
    <row r="1005" spans="1:226" s="418" customFormat="1" ht="14.1" hidden="1" customHeight="1">
      <c r="A1005" s="1809"/>
      <c r="B1005" s="1827"/>
      <c r="C1005" s="1815"/>
      <c r="D1005" s="1818"/>
      <c r="E1005" s="1358">
        <v>6060</v>
      </c>
      <c r="F1005" s="1359">
        <f t="shared" si="89"/>
        <v>0</v>
      </c>
      <c r="G1005" s="1359"/>
      <c r="H1005" s="1359"/>
      <c r="I1005" s="1359"/>
      <c r="J1005" s="1360"/>
      <c r="K1005" s="416"/>
    </row>
    <row r="1006" spans="1:226" s="418" customFormat="1" ht="14.1" hidden="1" customHeight="1">
      <c r="A1006" s="1809"/>
      <c r="B1006" s="1827"/>
      <c r="C1006" s="1815"/>
      <c r="D1006" s="1818"/>
      <c r="E1006" s="1384" t="s">
        <v>397</v>
      </c>
      <c r="F1006" s="1359">
        <f t="shared" si="89"/>
        <v>0</v>
      </c>
      <c r="G1006" s="1359"/>
      <c r="H1006" s="1359"/>
      <c r="I1006" s="1359"/>
      <c r="J1006" s="1360"/>
      <c r="K1006" s="416"/>
    </row>
    <row r="1007" spans="1:226" s="418" customFormat="1" ht="14.1" hidden="1" customHeight="1">
      <c r="A1007" s="1810"/>
      <c r="B1007" s="1828"/>
      <c r="C1007" s="1816"/>
      <c r="D1007" s="1819"/>
      <c r="E1007" s="1356">
        <v>6069</v>
      </c>
      <c r="F1007" s="1357">
        <f t="shared" si="89"/>
        <v>0</v>
      </c>
      <c r="G1007" s="1357"/>
      <c r="H1007" s="1357"/>
      <c r="I1007" s="1357"/>
      <c r="J1007" s="1373"/>
      <c r="K1007" s="416"/>
    </row>
    <row r="1008" spans="1:226" s="418" customFormat="1" ht="22.5">
      <c r="A1008" s="1808" t="s">
        <v>461</v>
      </c>
      <c r="B1008" s="1826" t="s">
        <v>507</v>
      </c>
      <c r="C1008" s="1814">
        <v>600</v>
      </c>
      <c r="D1008" s="1817" t="s">
        <v>482</v>
      </c>
      <c r="E1008" s="1361" t="s">
        <v>322</v>
      </c>
      <c r="F1008" s="1362">
        <f>SUM(F1009,F1016)</f>
        <v>5317600</v>
      </c>
      <c r="G1008" s="1362">
        <f>SUM(G1009,G1016)</f>
        <v>5317600</v>
      </c>
      <c r="H1008" s="1362">
        <f>SUM(H1009,H1016)</f>
        <v>0</v>
      </c>
      <c r="I1008" s="1362">
        <f>SUM(I1009,I1016)</f>
        <v>0</v>
      </c>
      <c r="J1008" s="1363">
        <f>SUM(J1009,J1016)</f>
        <v>0</v>
      </c>
      <c r="K1008" s="416"/>
    </row>
    <row r="1009" spans="1:226" s="418" customFormat="1" ht="12">
      <c r="A1009" s="1809"/>
      <c r="B1009" s="1827"/>
      <c r="C1009" s="1815"/>
      <c r="D1009" s="1818"/>
      <c r="E1009" s="1346" t="s">
        <v>323</v>
      </c>
      <c r="F1009" s="1347">
        <f>SUM(F1010,F1013)</f>
        <v>0</v>
      </c>
      <c r="G1009" s="1347">
        <f>SUM(G1010,G1013)</f>
        <v>0</v>
      </c>
      <c r="H1009" s="1347">
        <f>SUM(H1010,H1013)</f>
        <v>0</v>
      </c>
      <c r="I1009" s="1347">
        <f>SUM(I1010,I1013)</f>
        <v>0</v>
      </c>
      <c r="J1009" s="1348">
        <f>SUM(J1010,J1013)</f>
        <v>0</v>
      </c>
      <c r="K1009" s="416"/>
    </row>
    <row r="1010" spans="1:226" s="418" customFormat="1" ht="24.95" hidden="1" customHeight="1">
      <c r="A1010" s="1809"/>
      <c r="B1010" s="1827"/>
      <c r="C1010" s="1815"/>
      <c r="D1010" s="1818"/>
      <c r="E1010" s="1349" t="s">
        <v>335</v>
      </c>
      <c r="F1010" s="1350">
        <f>SUM(F1011:F1012)</f>
        <v>0</v>
      </c>
      <c r="G1010" s="1350">
        <f>SUM(G1011:G1012)</f>
        <v>0</v>
      </c>
      <c r="H1010" s="1350">
        <f>SUM(H1011:H1012)</f>
        <v>0</v>
      </c>
      <c r="I1010" s="1350">
        <f>SUM(I1011:I1012)</f>
        <v>0</v>
      </c>
      <c r="J1010" s="1351">
        <f>SUM(J1011:J1012)</f>
        <v>0</v>
      </c>
      <c r="K1010" s="416"/>
    </row>
    <row r="1011" spans="1:226" s="418" customFormat="1" ht="15" hidden="1" customHeight="1">
      <c r="A1011" s="1809"/>
      <c r="B1011" s="1827"/>
      <c r="C1011" s="1815"/>
      <c r="D1011" s="1818"/>
      <c r="E1011" s="1352"/>
      <c r="F1011" s="1353">
        <f>SUM(G1011:J1011)</f>
        <v>0</v>
      </c>
      <c r="G1011" s="1353"/>
      <c r="H1011" s="1353"/>
      <c r="I1011" s="1353"/>
      <c r="J1011" s="1354"/>
      <c r="K1011" s="416"/>
    </row>
    <row r="1012" spans="1:226" s="418" customFormat="1" ht="15" hidden="1" customHeight="1">
      <c r="A1012" s="1809"/>
      <c r="B1012" s="1827"/>
      <c r="C1012" s="1815"/>
      <c r="D1012" s="1818"/>
      <c r="E1012" s="1352"/>
      <c r="F1012" s="1353">
        <f>SUM(G1012:J1012)</f>
        <v>0</v>
      </c>
      <c r="G1012" s="1353"/>
      <c r="H1012" s="1353"/>
      <c r="I1012" s="1353"/>
      <c r="J1012" s="1354"/>
      <c r="K1012" s="416"/>
    </row>
    <row r="1013" spans="1:226" s="418" customFormat="1" ht="24.95" hidden="1" customHeight="1">
      <c r="A1013" s="1809"/>
      <c r="B1013" s="1827"/>
      <c r="C1013" s="1815"/>
      <c r="D1013" s="1818"/>
      <c r="E1013" s="1349" t="s">
        <v>340</v>
      </c>
      <c r="F1013" s="1350">
        <f>SUM(F1014:F1015)</f>
        <v>0</v>
      </c>
      <c r="G1013" s="1350">
        <f>SUM(G1014:G1015)</f>
        <v>0</v>
      </c>
      <c r="H1013" s="1350">
        <f>SUM(H1014:H1015)</f>
        <v>0</v>
      </c>
      <c r="I1013" s="1350">
        <f>SUM(I1014:I1015)</f>
        <v>0</v>
      </c>
      <c r="J1013" s="1351">
        <f>SUM(J1014:J1015)</f>
        <v>0</v>
      </c>
      <c r="K1013" s="416"/>
    </row>
    <row r="1014" spans="1:226" s="418" customFormat="1" ht="15" hidden="1" customHeight="1">
      <c r="A1014" s="1809"/>
      <c r="B1014" s="1827"/>
      <c r="C1014" s="1815"/>
      <c r="D1014" s="1818"/>
      <c r="E1014" s="1352"/>
      <c r="F1014" s="1353">
        <f>SUM(G1014:J1014)</f>
        <v>0</v>
      </c>
      <c r="G1014" s="1353"/>
      <c r="H1014" s="1353"/>
      <c r="I1014" s="1353"/>
      <c r="J1014" s="1354"/>
      <c r="K1014" s="416"/>
    </row>
    <row r="1015" spans="1:226" s="418" customFormat="1" ht="15" hidden="1" customHeight="1">
      <c r="A1015" s="1809"/>
      <c r="B1015" s="1827"/>
      <c r="C1015" s="1815"/>
      <c r="D1015" s="1818"/>
      <c r="E1015" s="1352"/>
      <c r="F1015" s="1353">
        <f>SUM(G1015:J1015)</f>
        <v>0</v>
      </c>
      <c r="G1015" s="1353"/>
      <c r="H1015" s="1353"/>
      <c r="I1015" s="1353"/>
      <c r="J1015" s="1354"/>
      <c r="K1015" s="416"/>
    </row>
    <row r="1016" spans="1:226" s="418" customFormat="1" ht="12">
      <c r="A1016" s="1809"/>
      <c r="B1016" s="1827"/>
      <c r="C1016" s="1815"/>
      <c r="D1016" s="1818"/>
      <c r="E1016" s="1355" t="s">
        <v>324</v>
      </c>
      <c r="F1016" s="1347">
        <f>SUM(F1017:F1022)</f>
        <v>5317600</v>
      </c>
      <c r="G1016" s="1347">
        <f>SUM(G1017:G1022)</f>
        <v>5317600</v>
      </c>
      <c r="H1016" s="1347">
        <f>SUM(H1017:H1022)</f>
        <v>0</v>
      </c>
      <c r="I1016" s="1347">
        <f>SUM(I1017:I1022)</f>
        <v>0</v>
      </c>
      <c r="J1016" s="1348">
        <f>SUM(J1017:J1022)</f>
        <v>0</v>
      </c>
      <c r="K1016" s="416"/>
      <c r="L1016" s="416"/>
      <c r="M1016" s="416"/>
      <c r="N1016" s="416"/>
      <c r="O1016" s="416"/>
      <c r="P1016" s="416"/>
      <c r="Q1016" s="416"/>
      <c r="R1016" s="416"/>
      <c r="S1016" s="416"/>
      <c r="T1016" s="416"/>
      <c r="U1016" s="416"/>
      <c r="V1016" s="416"/>
      <c r="W1016" s="416"/>
      <c r="X1016" s="416"/>
      <c r="Y1016" s="416"/>
      <c r="Z1016" s="416"/>
      <c r="AA1016" s="416"/>
      <c r="AB1016" s="416"/>
      <c r="AC1016" s="416"/>
      <c r="AD1016" s="416"/>
      <c r="AE1016" s="416"/>
      <c r="AF1016" s="416"/>
      <c r="AG1016" s="416"/>
      <c r="AH1016" s="416"/>
      <c r="AI1016" s="416"/>
      <c r="AJ1016" s="416"/>
      <c r="AK1016" s="416"/>
      <c r="AL1016" s="416"/>
      <c r="AM1016" s="416"/>
      <c r="AN1016" s="416"/>
      <c r="AO1016" s="416"/>
      <c r="AP1016" s="416"/>
      <c r="AQ1016" s="416"/>
      <c r="AR1016" s="416"/>
      <c r="AS1016" s="416"/>
      <c r="AT1016" s="416"/>
      <c r="AU1016" s="416"/>
      <c r="AV1016" s="416"/>
      <c r="AW1016" s="416"/>
      <c r="AX1016" s="416"/>
      <c r="AY1016" s="416"/>
      <c r="AZ1016" s="416"/>
      <c r="BA1016" s="416"/>
      <c r="BB1016" s="416"/>
      <c r="BC1016" s="416"/>
      <c r="BD1016" s="416"/>
      <c r="BE1016" s="416"/>
      <c r="BF1016" s="416"/>
      <c r="BG1016" s="416"/>
      <c r="BH1016" s="416"/>
      <c r="BI1016" s="416"/>
      <c r="BJ1016" s="416"/>
      <c r="BK1016" s="416"/>
      <c r="BL1016" s="416"/>
      <c r="BM1016" s="416"/>
      <c r="BN1016" s="416"/>
      <c r="BO1016" s="416"/>
      <c r="BP1016" s="416"/>
      <c r="BQ1016" s="416"/>
      <c r="BR1016" s="416"/>
      <c r="BS1016" s="416"/>
      <c r="BT1016" s="416"/>
      <c r="BU1016" s="416"/>
      <c r="BV1016" s="416"/>
      <c r="BW1016" s="416"/>
      <c r="BX1016" s="416"/>
      <c r="BY1016" s="416"/>
      <c r="BZ1016" s="416"/>
      <c r="CA1016" s="416"/>
      <c r="CB1016" s="416"/>
      <c r="CC1016" s="416"/>
      <c r="CD1016" s="416"/>
      <c r="CE1016" s="416"/>
      <c r="CF1016" s="416"/>
      <c r="CG1016" s="416"/>
      <c r="CH1016" s="416"/>
      <c r="CI1016" s="416"/>
      <c r="CJ1016" s="416"/>
      <c r="CK1016" s="416"/>
      <c r="CL1016" s="416"/>
      <c r="CM1016" s="416"/>
      <c r="CN1016" s="416"/>
      <c r="CO1016" s="416"/>
      <c r="CP1016" s="416"/>
      <c r="CQ1016" s="416"/>
      <c r="CR1016" s="416"/>
      <c r="CS1016" s="416"/>
      <c r="CT1016" s="416"/>
      <c r="CU1016" s="416"/>
      <c r="CV1016" s="416"/>
      <c r="CW1016" s="416"/>
      <c r="CX1016" s="416"/>
      <c r="CY1016" s="416"/>
      <c r="CZ1016" s="416"/>
      <c r="DA1016" s="416"/>
      <c r="DB1016" s="416"/>
      <c r="DC1016" s="416"/>
      <c r="DD1016" s="416"/>
      <c r="DE1016" s="416"/>
      <c r="DF1016" s="416"/>
      <c r="DG1016" s="416"/>
      <c r="DH1016" s="416"/>
      <c r="DI1016" s="416"/>
      <c r="DJ1016" s="416"/>
      <c r="DK1016" s="416"/>
      <c r="DL1016" s="416"/>
      <c r="DM1016" s="416"/>
      <c r="DN1016" s="416"/>
      <c r="DO1016" s="416"/>
      <c r="DP1016" s="416"/>
      <c r="DQ1016" s="416"/>
      <c r="DR1016" s="416"/>
      <c r="DS1016" s="416"/>
      <c r="DT1016" s="416"/>
      <c r="DU1016" s="416"/>
      <c r="DV1016" s="416"/>
      <c r="DW1016" s="416"/>
      <c r="DX1016" s="416"/>
      <c r="DY1016" s="416"/>
      <c r="DZ1016" s="416"/>
      <c r="EA1016" s="416"/>
      <c r="EB1016" s="416"/>
      <c r="EC1016" s="416"/>
      <c r="ED1016" s="416"/>
      <c r="EE1016" s="416"/>
      <c r="EF1016" s="416"/>
      <c r="EG1016" s="416"/>
      <c r="EH1016" s="416"/>
      <c r="EI1016" s="416"/>
      <c r="EJ1016" s="416"/>
      <c r="EK1016" s="416"/>
      <c r="EL1016" s="416"/>
      <c r="EM1016" s="416"/>
      <c r="EN1016" s="416"/>
      <c r="EO1016" s="416"/>
      <c r="EP1016" s="416"/>
      <c r="EQ1016" s="416"/>
      <c r="ER1016" s="416"/>
      <c r="ES1016" s="416"/>
      <c r="ET1016" s="416"/>
      <c r="EU1016" s="416"/>
      <c r="EV1016" s="416"/>
      <c r="EW1016" s="416"/>
      <c r="EX1016" s="416"/>
      <c r="EY1016" s="416"/>
      <c r="EZ1016" s="416"/>
      <c r="FA1016" s="416"/>
      <c r="FB1016" s="416"/>
      <c r="FC1016" s="416"/>
      <c r="FD1016" s="416"/>
      <c r="FE1016" s="416"/>
      <c r="FF1016" s="416"/>
      <c r="FG1016" s="416"/>
      <c r="FH1016" s="416"/>
      <c r="FI1016" s="416"/>
      <c r="FJ1016" s="416"/>
      <c r="FK1016" s="416"/>
      <c r="FL1016" s="416"/>
      <c r="FM1016" s="416"/>
      <c r="FN1016" s="416"/>
      <c r="FO1016" s="416"/>
      <c r="FP1016" s="416"/>
      <c r="FQ1016" s="416"/>
      <c r="FR1016" s="416"/>
      <c r="FS1016" s="416"/>
      <c r="FT1016" s="416"/>
      <c r="FU1016" s="416"/>
      <c r="FV1016" s="416"/>
      <c r="FW1016" s="416"/>
      <c r="FX1016" s="416"/>
      <c r="FY1016" s="416"/>
      <c r="FZ1016" s="416"/>
      <c r="GA1016" s="416"/>
      <c r="GB1016" s="416"/>
      <c r="GC1016" s="416"/>
      <c r="GD1016" s="416"/>
      <c r="GE1016" s="416"/>
      <c r="GF1016" s="416"/>
      <c r="GG1016" s="416"/>
      <c r="GH1016" s="416"/>
      <c r="GI1016" s="416"/>
      <c r="GJ1016" s="416"/>
      <c r="GK1016" s="416"/>
      <c r="GL1016" s="416"/>
      <c r="GM1016" s="416"/>
      <c r="GN1016" s="416"/>
      <c r="GO1016" s="416"/>
      <c r="GP1016" s="416"/>
      <c r="GQ1016" s="416"/>
      <c r="GR1016" s="416"/>
      <c r="GS1016" s="416"/>
      <c r="GT1016" s="416"/>
      <c r="GU1016" s="416"/>
      <c r="GV1016" s="416"/>
      <c r="GW1016" s="416"/>
      <c r="GX1016" s="416"/>
      <c r="GY1016" s="416"/>
      <c r="GZ1016" s="416"/>
      <c r="HA1016" s="416"/>
      <c r="HB1016" s="416"/>
      <c r="HC1016" s="416"/>
      <c r="HD1016" s="416"/>
      <c r="HE1016" s="416"/>
      <c r="HF1016" s="416"/>
      <c r="HG1016" s="416"/>
      <c r="HH1016" s="416"/>
      <c r="HI1016" s="416"/>
      <c r="HJ1016" s="416"/>
      <c r="HK1016" s="416"/>
      <c r="HL1016" s="416"/>
      <c r="HM1016" s="416"/>
      <c r="HN1016" s="416"/>
      <c r="HO1016" s="416"/>
      <c r="HP1016" s="416"/>
      <c r="HQ1016" s="416"/>
      <c r="HR1016" s="416"/>
    </row>
    <row r="1017" spans="1:226" s="418" customFormat="1" ht="15" hidden="1" customHeight="1">
      <c r="A1017" s="1809"/>
      <c r="B1017" s="1827"/>
      <c r="C1017" s="1815"/>
      <c r="D1017" s="1818"/>
      <c r="E1017" s="1352" t="s">
        <v>405</v>
      </c>
      <c r="F1017" s="1353">
        <f t="shared" ref="F1017:F1022" si="90">SUM(G1017:J1017)</f>
        <v>0</v>
      </c>
      <c r="G1017" s="1353"/>
      <c r="H1017" s="1353"/>
      <c r="I1017" s="1353"/>
      <c r="J1017" s="1354"/>
      <c r="K1017" s="416"/>
    </row>
    <row r="1018" spans="1:226" s="418" customFormat="1" ht="14.1" customHeight="1">
      <c r="A1018" s="1809"/>
      <c r="B1018" s="1827"/>
      <c r="C1018" s="1815"/>
      <c r="D1018" s="1818"/>
      <c r="E1018" s="1358">
        <v>6058</v>
      </c>
      <c r="F1018" s="1359">
        <f t="shared" si="90"/>
        <v>4519960</v>
      </c>
      <c r="G1018" s="1359">
        <v>4519960</v>
      </c>
      <c r="H1018" s="1359"/>
      <c r="I1018" s="1359"/>
      <c r="J1018" s="1360"/>
      <c r="K1018" s="416"/>
    </row>
    <row r="1019" spans="1:226" s="418" customFormat="1" ht="14.1" customHeight="1" thickBot="1">
      <c r="A1019" s="1809"/>
      <c r="B1019" s="1827"/>
      <c r="C1019" s="1815"/>
      <c r="D1019" s="1818"/>
      <c r="E1019" s="1358">
        <v>6059</v>
      </c>
      <c r="F1019" s="1359">
        <f t="shared" si="90"/>
        <v>797640</v>
      </c>
      <c r="G1019" s="1359">
        <v>797640</v>
      </c>
      <c r="H1019" s="1359"/>
      <c r="I1019" s="1359"/>
      <c r="J1019" s="1360"/>
      <c r="K1019" s="416"/>
    </row>
    <row r="1020" spans="1:226" s="418" customFormat="1" ht="14.1" hidden="1" customHeight="1">
      <c r="A1020" s="1809"/>
      <c r="B1020" s="1827"/>
      <c r="C1020" s="1815"/>
      <c r="D1020" s="1818"/>
      <c r="E1020" s="1358">
        <v>6060</v>
      </c>
      <c r="F1020" s="1359">
        <f t="shared" si="90"/>
        <v>0</v>
      </c>
      <c r="G1020" s="1359"/>
      <c r="H1020" s="1359"/>
      <c r="I1020" s="1359"/>
      <c r="J1020" s="1360"/>
      <c r="K1020" s="416"/>
    </row>
    <row r="1021" spans="1:226" s="418" customFormat="1" ht="14.1" hidden="1" customHeight="1">
      <c r="A1021" s="1809"/>
      <c r="B1021" s="1827"/>
      <c r="C1021" s="1815"/>
      <c r="D1021" s="1818"/>
      <c r="E1021" s="1384" t="s">
        <v>382</v>
      </c>
      <c r="F1021" s="1359">
        <f t="shared" si="90"/>
        <v>0</v>
      </c>
      <c r="G1021" s="1359"/>
      <c r="H1021" s="1359"/>
      <c r="I1021" s="1359"/>
      <c r="J1021" s="1360"/>
      <c r="K1021" s="416"/>
    </row>
    <row r="1022" spans="1:226" s="418" customFormat="1" ht="14.1" hidden="1" customHeight="1">
      <c r="A1022" s="1810"/>
      <c r="B1022" s="1828"/>
      <c r="C1022" s="1816"/>
      <c r="D1022" s="1819"/>
      <c r="E1022" s="1356">
        <v>6069</v>
      </c>
      <c r="F1022" s="1357">
        <f t="shared" si="90"/>
        <v>0</v>
      </c>
      <c r="G1022" s="1357"/>
      <c r="H1022" s="1357"/>
      <c r="I1022" s="1357"/>
      <c r="J1022" s="1373"/>
      <c r="K1022" s="416"/>
    </row>
    <row r="1023" spans="1:226" s="418" customFormat="1" ht="22.5">
      <c r="A1023" s="1808" t="s">
        <v>463</v>
      </c>
      <c r="B1023" s="1826" t="s">
        <v>508</v>
      </c>
      <c r="C1023" s="1814">
        <v>600</v>
      </c>
      <c r="D1023" s="1817" t="s">
        <v>482</v>
      </c>
      <c r="E1023" s="1361" t="s">
        <v>322</v>
      </c>
      <c r="F1023" s="1362">
        <f>SUM(F1024,F1031)</f>
        <v>14614597</v>
      </c>
      <c r="G1023" s="1362">
        <f>SUM(G1024,G1031)</f>
        <v>14614597</v>
      </c>
      <c r="H1023" s="1362">
        <f>SUM(H1024,H1031)</f>
        <v>0</v>
      </c>
      <c r="I1023" s="1362">
        <f>SUM(I1024,I1031)</f>
        <v>0</v>
      </c>
      <c r="J1023" s="1363">
        <f>SUM(J1024,J1031)</f>
        <v>0</v>
      </c>
      <c r="K1023" s="416"/>
    </row>
    <row r="1024" spans="1:226" s="418" customFormat="1" ht="12">
      <c r="A1024" s="1809"/>
      <c r="B1024" s="1827"/>
      <c r="C1024" s="1815"/>
      <c r="D1024" s="1818"/>
      <c r="E1024" s="1346" t="s">
        <v>323</v>
      </c>
      <c r="F1024" s="1347">
        <f>SUM(F1025,F1028)</f>
        <v>0</v>
      </c>
      <c r="G1024" s="1347">
        <f>SUM(G1025,G1028)</f>
        <v>0</v>
      </c>
      <c r="H1024" s="1347">
        <f>SUM(H1025,H1028)</f>
        <v>0</v>
      </c>
      <c r="I1024" s="1347">
        <f>SUM(I1025,I1028)</f>
        <v>0</v>
      </c>
      <c r="J1024" s="1348">
        <f>SUM(J1025,J1028)</f>
        <v>0</v>
      </c>
      <c r="K1024" s="416"/>
    </row>
    <row r="1025" spans="1:226" s="418" customFormat="1" ht="24.95" hidden="1" customHeight="1">
      <c r="A1025" s="1809"/>
      <c r="B1025" s="1827"/>
      <c r="C1025" s="1815"/>
      <c r="D1025" s="1818"/>
      <c r="E1025" s="1349" t="s">
        <v>335</v>
      </c>
      <c r="F1025" s="1350">
        <f>SUM(F1026:F1027)</f>
        <v>0</v>
      </c>
      <c r="G1025" s="1350">
        <f>SUM(G1026:G1027)</f>
        <v>0</v>
      </c>
      <c r="H1025" s="1350">
        <f>SUM(H1026:H1027)</f>
        <v>0</v>
      </c>
      <c r="I1025" s="1350">
        <f>SUM(I1026:I1027)</f>
        <v>0</v>
      </c>
      <c r="J1025" s="1351">
        <f>SUM(J1026:J1027)</f>
        <v>0</v>
      </c>
      <c r="K1025" s="416"/>
    </row>
    <row r="1026" spans="1:226" s="418" customFormat="1" ht="15" hidden="1" customHeight="1">
      <c r="A1026" s="1809"/>
      <c r="B1026" s="1827"/>
      <c r="C1026" s="1815"/>
      <c r="D1026" s="1818"/>
      <c r="E1026" s="1352"/>
      <c r="F1026" s="1353">
        <f>SUM(G1026:J1026)</f>
        <v>0</v>
      </c>
      <c r="G1026" s="1353"/>
      <c r="H1026" s="1353"/>
      <c r="I1026" s="1353"/>
      <c r="J1026" s="1354"/>
      <c r="K1026" s="416"/>
    </row>
    <row r="1027" spans="1:226" s="418" customFormat="1" ht="15" hidden="1" customHeight="1">
      <c r="A1027" s="1809"/>
      <c r="B1027" s="1827"/>
      <c r="C1027" s="1815"/>
      <c r="D1027" s="1818"/>
      <c r="E1027" s="1352"/>
      <c r="F1027" s="1353">
        <f>SUM(G1027:J1027)</f>
        <v>0</v>
      </c>
      <c r="G1027" s="1353"/>
      <c r="H1027" s="1353"/>
      <c r="I1027" s="1353"/>
      <c r="J1027" s="1354"/>
      <c r="K1027" s="416"/>
    </row>
    <row r="1028" spans="1:226" s="418" customFormat="1" ht="24.95" hidden="1" customHeight="1">
      <c r="A1028" s="1809"/>
      <c r="B1028" s="1827"/>
      <c r="C1028" s="1815"/>
      <c r="D1028" s="1818"/>
      <c r="E1028" s="1349" t="s">
        <v>340</v>
      </c>
      <c r="F1028" s="1350">
        <f>SUM(F1029:F1030)</f>
        <v>0</v>
      </c>
      <c r="G1028" s="1350">
        <f>SUM(G1029:G1030)</f>
        <v>0</v>
      </c>
      <c r="H1028" s="1350">
        <f>SUM(H1029:H1030)</f>
        <v>0</v>
      </c>
      <c r="I1028" s="1350">
        <f>SUM(I1029:I1030)</f>
        <v>0</v>
      </c>
      <c r="J1028" s="1351">
        <f>SUM(J1029:J1030)</f>
        <v>0</v>
      </c>
      <c r="K1028" s="416"/>
    </row>
    <row r="1029" spans="1:226" s="418" customFormat="1" ht="15" hidden="1" customHeight="1">
      <c r="A1029" s="1809"/>
      <c r="B1029" s="1827"/>
      <c r="C1029" s="1815"/>
      <c r="D1029" s="1818"/>
      <c r="E1029" s="1352"/>
      <c r="F1029" s="1353">
        <f>SUM(G1029:J1029)</f>
        <v>0</v>
      </c>
      <c r="G1029" s="1353"/>
      <c r="H1029" s="1353"/>
      <c r="I1029" s="1353"/>
      <c r="J1029" s="1354"/>
      <c r="K1029" s="416"/>
    </row>
    <row r="1030" spans="1:226" s="418" customFormat="1" ht="15" hidden="1" customHeight="1">
      <c r="A1030" s="1809"/>
      <c r="B1030" s="1827"/>
      <c r="C1030" s="1815"/>
      <c r="D1030" s="1818"/>
      <c r="E1030" s="1352"/>
      <c r="F1030" s="1353">
        <f>SUM(G1030:J1030)</f>
        <v>0</v>
      </c>
      <c r="G1030" s="1353"/>
      <c r="H1030" s="1353"/>
      <c r="I1030" s="1353"/>
      <c r="J1030" s="1354"/>
      <c r="K1030" s="416"/>
    </row>
    <row r="1031" spans="1:226" s="418" customFormat="1" ht="14.25" customHeight="1">
      <c r="A1031" s="1809"/>
      <c r="B1031" s="1827"/>
      <c r="C1031" s="1815"/>
      <c r="D1031" s="1818"/>
      <c r="E1031" s="1355" t="s">
        <v>324</v>
      </c>
      <c r="F1031" s="1347">
        <f>SUM(F1032:F1037)</f>
        <v>14614597</v>
      </c>
      <c r="G1031" s="1347">
        <f>SUM(G1032:G1037)</f>
        <v>14614597</v>
      </c>
      <c r="H1031" s="1347">
        <f>SUM(H1032:H1037)</f>
        <v>0</v>
      </c>
      <c r="I1031" s="1347">
        <f>SUM(I1032:I1037)</f>
        <v>0</v>
      </c>
      <c r="J1031" s="1348">
        <f>SUM(J1032:J1037)</f>
        <v>0</v>
      </c>
      <c r="K1031" s="416"/>
      <c r="L1031" s="416"/>
      <c r="M1031" s="416"/>
      <c r="N1031" s="416"/>
      <c r="O1031" s="416"/>
      <c r="P1031" s="416"/>
      <c r="Q1031" s="416"/>
      <c r="R1031" s="416"/>
      <c r="S1031" s="416"/>
      <c r="T1031" s="416"/>
      <c r="U1031" s="416"/>
      <c r="V1031" s="416"/>
      <c r="W1031" s="416"/>
      <c r="X1031" s="416"/>
      <c r="Y1031" s="416"/>
      <c r="Z1031" s="416"/>
      <c r="AA1031" s="416"/>
      <c r="AB1031" s="416"/>
      <c r="AC1031" s="416"/>
      <c r="AD1031" s="416"/>
      <c r="AE1031" s="416"/>
      <c r="AF1031" s="416"/>
      <c r="AG1031" s="416"/>
      <c r="AH1031" s="416"/>
      <c r="AI1031" s="416"/>
      <c r="AJ1031" s="416"/>
      <c r="AK1031" s="416"/>
      <c r="AL1031" s="416"/>
      <c r="AM1031" s="416"/>
      <c r="AN1031" s="416"/>
      <c r="AO1031" s="416"/>
      <c r="AP1031" s="416"/>
      <c r="AQ1031" s="416"/>
      <c r="AR1031" s="416"/>
      <c r="AS1031" s="416"/>
      <c r="AT1031" s="416"/>
      <c r="AU1031" s="416"/>
      <c r="AV1031" s="416"/>
      <c r="AW1031" s="416"/>
      <c r="AX1031" s="416"/>
      <c r="AY1031" s="416"/>
      <c r="AZ1031" s="416"/>
      <c r="BA1031" s="416"/>
      <c r="BB1031" s="416"/>
      <c r="BC1031" s="416"/>
      <c r="BD1031" s="416"/>
      <c r="BE1031" s="416"/>
      <c r="BF1031" s="416"/>
      <c r="BG1031" s="416"/>
      <c r="BH1031" s="416"/>
      <c r="BI1031" s="416"/>
      <c r="BJ1031" s="416"/>
      <c r="BK1031" s="416"/>
      <c r="BL1031" s="416"/>
      <c r="BM1031" s="416"/>
      <c r="BN1031" s="416"/>
      <c r="BO1031" s="416"/>
      <c r="BP1031" s="416"/>
      <c r="BQ1031" s="416"/>
      <c r="BR1031" s="416"/>
      <c r="BS1031" s="416"/>
      <c r="BT1031" s="416"/>
      <c r="BU1031" s="416"/>
      <c r="BV1031" s="416"/>
      <c r="BW1031" s="416"/>
      <c r="BX1031" s="416"/>
      <c r="BY1031" s="416"/>
      <c r="BZ1031" s="416"/>
      <c r="CA1031" s="416"/>
      <c r="CB1031" s="416"/>
      <c r="CC1031" s="416"/>
      <c r="CD1031" s="416"/>
      <c r="CE1031" s="416"/>
      <c r="CF1031" s="416"/>
      <c r="CG1031" s="416"/>
      <c r="CH1031" s="416"/>
      <c r="CI1031" s="416"/>
      <c r="CJ1031" s="416"/>
      <c r="CK1031" s="416"/>
      <c r="CL1031" s="416"/>
      <c r="CM1031" s="416"/>
      <c r="CN1031" s="416"/>
      <c r="CO1031" s="416"/>
      <c r="CP1031" s="416"/>
      <c r="CQ1031" s="416"/>
      <c r="CR1031" s="416"/>
      <c r="CS1031" s="416"/>
      <c r="CT1031" s="416"/>
      <c r="CU1031" s="416"/>
      <c r="CV1031" s="416"/>
      <c r="CW1031" s="416"/>
      <c r="CX1031" s="416"/>
      <c r="CY1031" s="416"/>
      <c r="CZ1031" s="416"/>
      <c r="DA1031" s="416"/>
      <c r="DB1031" s="416"/>
      <c r="DC1031" s="416"/>
      <c r="DD1031" s="416"/>
      <c r="DE1031" s="416"/>
      <c r="DF1031" s="416"/>
      <c r="DG1031" s="416"/>
      <c r="DH1031" s="416"/>
      <c r="DI1031" s="416"/>
      <c r="DJ1031" s="416"/>
      <c r="DK1031" s="416"/>
      <c r="DL1031" s="416"/>
      <c r="DM1031" s="416"/>
      <c r="DN1031" s="416"/>
      <c r="DO1031" s="416"/>
      <c r="DP1031" s="416"/>
      <c r="DQ1031" s="416"/>
      <c r="DR1031" s="416"/>
      <c r="DS1031" s="416"/>
      <c r="DT1031" s="416"/>
      <c r="DU1031" s="416"/>
      <c r="DV1031" s="416"/>
      <c r="DW1031" s="416"/>
      <c r="DX1031" s="416"/>
      <c r="DY1031" s="416"/>
      <c r="DZ1031" s="416"/>
      <c r="EA1031" s="416"/>
      <c r="EB1031" s="416"/>
      <c r="EC1031" s="416"/>
      <c r="ED1031" s="416"/>
      <c r="EE1031" s="416"/>
      <c r="EF1031" s="416"/>
      <c r="EG1031" s="416"/>
      <c r="EH1031" s="416"/>
      <c r="EI1031" s="416"/>
      <c r="EJ1031" s="416"/>
      <c r="EK1031" s="416"/>
      <c r="EL1031" s="416"/>
      <c r="EM1031" s="416"/>
      <c r="EN1031" s="416"/>
      <c r="EO1031" s="416"/>
      <c r="EP1031" s="416"/>
      <c r="EQ1031" s="416"/>
      <c r="ER1031" s="416"/>
      <c r="ES1031" s="416"/>
      <c r="ET1031" s="416"/>
      <c r="EU1031" s="416"/>
      <c r="EV1031" s="416"/>
      <c r="EW1031" s="416"/>
      <c r="EX1031" s="416"/>
      <c r="EY1031" s="416"/>
      <c r="EZ1031" s="416"/>
      <c r="FA1031" s="416"/>
      <c r="FB1031" s="416"/>
      <c r="FC1031" s="416"/>
      <c r="FD1031" s="416"/>
      <c r="FE1031" s="416"/>
      <c r="FF1031" s="416"/>
      <c r="FG1031" s="416"/>
      <c r="FH1031" s="416"/>
      <c r="FI1031" s="416"/>
      <c r="FJ1031" s="416"/>
      <c r="FK1031" s="416"/>
      <c r="FL1031" s="416"/>
      <c r="FM1031" s="416"/>
      <c r="FN1031" s="416"/>
      <c r="FO1031" s="416"/>
      <c r="FP1031" s="416"/>
      <c r="FQ1031" s="416"/>
      <c r="FR1031" s="416"/>
      <c r="FS1031" s="416"/>
      <c r="FT1031" s="416"/>
      <c r="FU1031" s="416"/>
      <c r="FV1031" s="416"/>
      <c r="FW1031" s="416"/>
      <c r="FX1031" s="416"/>
      <c r="FY1031" s="416"/>
      <c r="FZ1031" s="416"/>
      <c r="GA1031" s="416"/>
      <c r="GB1031" s="416"/>
      <c r="GC1031" s="416"/>
      <c r="GD1031" s="416"/>
      <c r="GE1031" s="416"/>
      <c r="GF1031" s="416"/>
      <c r="GG1031" s="416"/>
      <c r="GH1031" s="416"/>
      <c r="GI1031" s="416"/>
      <c r="GJ1031" s="416"/>
      <c r="GK1031" s="416"/>
      <c r="GL1031" s="416"/>
      <c r="GM1031" s="416"/>
      <c r="GN1031" s="416"/>
      <c r="GO1031" s="416"/>
      <c r="GP1031" s="416"/>
      <c r="GQ1031" s="416"/>
      <c r="GR1031" s="416"/>
      <c r="GS1031" s="416"/>
      <c r="GT1031" s="416"/>
      <c r="GU1031" s="416"/>
      <c r="GV1031" s="416"/>
      <c r="GW1031" s="416"/>
      <c r="GX1031" s="416"/>
      <c r="GY1031" s="416"/>
      <c r="GZ1031" s="416"/>
      <c r="HA1031" s="416"/>
      <c r="HB1031" s="416"/>
      <c r="HC1031" s="416"/>
      <c r="HD1031" s="416"/>
      <c r="HE1031" s="416"/>
      <c r="HF1031" s="416"/>
      <c r="HG1031" s="416"/>
      <c r="HH1031" s="416"/>
      <c r="HI1031" s="416"/>
      <c r="HJ1031" s="416"/>
      <c r="HK1031" s="416"/>
      <c r="HL1031" s="416"/>
      <c r="HM1031" s="416"/>
      <c r="HN1031" s="416"/>
      <c r="HO1031" s="416"/>
      <c r="HP1031" s="416"/>
      <c r="HQ1031" s="416"/>
      <c r="HR1031" s="416"/>
    </row>
    <row r="1032" spans="1:226" s="418" customFormat="1" ht="14.1" hidden="1" customHeight="1">
      <c r="A1032" s="1809"/>
      <c r="B1032" s="1827"/>
      <c r="C1032" s="1815"/>
      <c r="D1032" s="1818"/>
      <c r="E1032" s="1352" t="s">
        <v>405</v>
      </c>
      <c r="F1032" s="1353">
        <f t="shared" ref="F1032:F1037" si="91">SUM(G1032:J1032)</f>
        <v>0</v>
      </c>
      <c r="G1032" s="1353"/>
      <c r="H1032" s="1353"/>
      <c r="I1032" s="1353"/>
      <c r="J1032" s="1354"/>
      <c r="K1032" s="416"/>
    </row>
    <row r="1033" spans="1:226" s="418" customFormat="1" ht="14.1" customHeight="1">
      <c r="A1033" s="1809"/>
      <c r="B1033" s="1827"/>
      <c r="C1033" s="1815"/>
      <c r="D1033" s="1818"/>
      <c r="E1033" s="1358">
        <v>6058</v>
      </c>
      <c r="F1033" s="1359">
        <f t="shared" si="91"/>
        <v>13153138</v>
      </c>
      <c r="G1033" s="1359">
        <v>13153138</v>
      </c>
      <c r="H1033" s="1359"/>
      <c r="I1033" s="1359"/>
      <c r="J1033" s="1360"/>
      <c r="K1033" s="416"/>
    </row>
    <row r="1034" spans="1:226" s="418" customFormat="1" ht="14.1" customHeight="1" thickBot="1">
      <c r="A1034" s="1809"/>
      <c r="B1034" s="1827"/>
      <c r="C1034" s="1815"/>
      <c r="D1034" s="1818"/>
      <c r="E1034" s="1358">
        <v>6059</v>
      </c>
      <c r="F1034" s="1359">
        <f t="shared" si="91"/>
        <v>1461459</v>
      </c>
      <c r="G1034" s="1359">
        <v>1461459</v>
      </c>
      <c r="H1034" s="1359"/>
      <c r="I1034" s="1359"/>
      <c r="J1034" s="1360"/>
      <c r="K1034" s="416"/>
    </row>
    <row r="1035" spans="1:226" s="418" customFormat="1" ht="14.1" hidden="1" customHeight="1">
      <c r="A1035" s="1809"/>
      <c r="B1035" s="1827"/>
      <c r="C1035" s="1815"/>
      <c r="D1035" s="1818"/>
      <c r="E1035" s="1358">
        <v>6060</v>
      </c>
      <c r="F1035" s="1359">
        <f t="shared" si="91"/>
        <v>0</v>
      </c>
      <c r="G1035" s="1359"/>
      <c r="H1035" s="1359"/>
      <c r="I1035" s="1359"/>
      <c r="J1035" s="1360"/>
      <c r="K1035" s="416"/>
    </row>
    <row r="1036" spans="1:226" s="418" customFormat="1" ht="14.1" hidden="1" customHeight="1">
      <c r="A1036" s="1809"/>
      <c r="B1036" s="1827"/>
      <c r="C1036" s="1815"/>
      <c r="D1036" s="1818"/>
      <c r="E1036" s="1384" t="s">
        <v>382</v>
      </c>
      <c r="F1036" s="1359">
        <f t="shared" si="91"/>
        <v>0</v>
      </c>
      <c r="G1036" s="1359"/>
      <c r="H1036" s="1359"/>
      <c r="I1036" s="1359"/>
      <c r="J1036" s="1360"/>
      <c r="K1036" s="416"/>
    </row>
    <row r="1037" spans="1:226" s="418" customFormat="1" ht="14.1" hidden="1" customHeight="1" thickBot="1">
      <c r="A1037" s="1810"/>
      <c r="B1037" s="1828"/>
      <c r="C1037" s="1816"/>
      <c r="D1037" s="1819"/>
      <c r="E1037" s="1356">
        <v>6069</v>
      </c>
      <c r="F1037" s="1357">
        <f t="shared" si="91"/>
        <v>0</v>
      </c>
      <c r="G1037" s="1357"/>
      <c r="H1037" s="1357"/>
      <c r="I1037" s="1357"/>
      <c r="J1037" s="1373"/>
      <c r="K1037" s="416"/>
    </row>
    <row r="1038" spans="1:226" s="429" customFormat="1" ht="24.95" customHeight="1" thickBot="1">
      <c r="A1038" s="414" t="s">
        <v>509</v>
      </c>
      <c r="B1038" s="1768" t="s">
        <v>510</v>
      </c>
      <c r="C1038" s="1768"/>
      <c r="D1038" s="1768"/>
      <c r="E1038" s="1768"/>
      <c r="F1038" s="1407">
        <f>F1040+F1050</f>
        <v>291000</v>
      </c>
      <c r="G1038" s="1407">
        <f t="shared" ref="G1038:J1038" si="92">G1040+G1050</f>
        <v>0</v>
      </c>
      <c r="H1038" s="1407">
        <f t="shared" si="92"/>
        <v>0</v>
      </c>
      <c r="I1038" s="1407">
        <f t="shared" si="92"/>
        <v>291000</v>
      </c>
      <c r="J1038" s="1408">
        <f t="shared" si="92"/>
        <v>0</v>
      </c>
      <c r="K1038" s="428"/>
    </row>
    <row r="1039" spans="1:226" s="429" customFormat="1" ht="15" customHeight="1" thickBot="1">
      <c r="A1039" s="1834"/>
      <c r="B1039" s="1835"/>
      <c r="C1039" s="1835"/>
      <c r="D1039" s="1835"/>
      <c r="E1039" s="1835"/>
      <c r="F1039" s="1835"/>
      <c r="G1039" s="1835"/>
      <c r="H1039" s="1835"/>
      <c r="I1039" s="1835"/>
      <c r="J1039" s="1836"/>
      <c r="K1039" s="428"/>
      <c r="L1039" s="428"/>
      <c r="M1039" s="428"/>
      <c r="N1039" s="428"/>
      <c r="O1039" s="428"/>
      <c r="P1039" s="428"/>
      <c r="Q1039" s="428"/>
      <c r="R1039" s="428"/>
      <c r="S1039" s="428"/>
      <c r="T1039" s="428"/>
      <c r="U1039" s="428"/>
      <c r="V1039" s="428"/>
      <c r="W1039" s="428"/>
      <c r="X1039" s="428"/>
      <c r="Y1039" s="428"/>
      <c r="Z1039" s="428"/>
      <c r="AA1039" s="428"/>
      <c r="AB1039" s="428"/>
      <c r="AC1039" s="428"/>
      <c r="AD1039" s="428"/>
      <c r="AE1039" s="428"/>
      <c r="AF1039" s="428"/>
      <c r="AG1039" s="428"/>
      <c r="AH1039" s="428"/>
      <c r="AI1039" s="428"/>
      <c r="AJ1039" s="428"/>
      <c r="AK1039" s="428"/>
      <c r="AL1039" s="428"/>
      <c r="AM1039" s="428"/>
      <c r="AN1039" s="428"/>
      <c r="AO1039" s="428"/>
      <c r="AP1039" s="428"/>
      <c r="AQ1039" s="428"/>
      <c r="AR1039" s="428"/>
      <c r="AS1039" s="428"/>
      <c r="AT1039" s="428"/>
      <c r="AU1039" s="428"/>
      <c r="AV1039" s="428"/>
      <c r="AW1039" s="428"/>
      <c r="AX1039" s="428"/>
      <c r="AY1039" s="428"/>
      <c r="AZ1039" s="428"/>
      <c r="BA1039" s="428"/>
      <c r="BB1039" s="428"/>
      <c r="BC1039" s="428"/>
      <c r="BD1039" s="428"/>
      <c r="BE1039" s="428"/>
      <c r="BF1039" s="428"/>
      <c r="BG1039" s="428"/>
      <c r="BH1039" s="428"/>
      <c r="BI1039" s="428"/>
      <c r="BJ1039" s="428"/>
      <c r="BK1039" s="428"/>
      <c r="BL1039" s="428"/>
      <c r="BM1039" s="428"/>
      <c r="BN1039" s="428"/>
      <c r="BO1039" s="428"/>
      <c r="BP1039" s="428"/>
      <c r="BQ1039" s="428"/>
      <c r="BR1039" s="428"/>
      <c r="BS1039" s="428"/>
      <c r="BT1039" s="428"/>
      <c r="BU1039" s="428"/>
      <c r="BV1039" s="428"/>
      <c r="BW1039" s="428"/>
      <c r="BX1039" s="428"/>
      <c r="BY1039" s="428"/>
      <c r="BZ1039" s="428"/>
      <c r="CA1039" s="428"/>
      <c r="CB1039" s="428"/>
      <c r="CC1039" s="428"/>
      <c r="CD1039" s="428"/>
      <c r="CE1039" s="428"/>
      <c r="CF1039" s="428"/>
      <c r="CG1039" s="428"/>
      <c r="CH1039" s="428"/>
      <c r="CI1039" s="428"/>
      <c r="CJ1039" s="428"/>
      <c r="CK1039" s="428"/>
      <c r="CL1039" s="428"/>
      <c r="CM1039" s="428"/>
      <c r="CN1039" s="428"/>
      <c r="CO1039" s="428"/>
      <c r="CP1039" s="428"/>
      <c r="CQ1039" s="428"/>
      <c r="CR1039" s="428"/>
      <c r="CS1039" s="428"/>
      <c r="CT1039" s="428"/>
      <c r="CU1039" s="428"/>
      <c r="CV1039" s="428"/>
      <c r="CW1039" s="428"/>
      <c r="CX1039" s="428"/>
      <c r="CY1039" s="428"/>
      <c r="CZ1039" s="428"/>
      <c r="DA1039" s="428"/>
      <c r="DB1039" s="428"/>
      <c r="DC1039" s="428"/>
      <c r="DD1039" s="428"/>
      <c r="DE1039" s="428"/>
      <c r="DF1039" s="428"/>
      <c r="DG1039" s="428"/>
      <c r="DH1039" s="428"/>
      <c r="DI1039" s="428"/>
      <c r="DJ1039" s="428"/>
      <c r="DK1039" s="428"/>
      <c r="DL1039" s="428"/>
      <c r="DM1039" s="428"/>
      <c r="DN1039" s="428"/>
      <c r="DO1039" s="428"/>
      <c r="DP1039" s="428"/>
      <c r="DQ1039" s="428"/>
      <c r="DR1039" s="428"/>
      <c r="DS1039" s="428"/>
      <c r="DT1039" s="428"/>
      <c r="DU1039" s="428"/>
      <c r="DV1039" s="428"/>
      <c r="DW1039" s="428"/>
      <c r="DX1039" s="428"/>
      <c r="DY1039" s="428"/>
      <c r="DZ1039" s="428"/>
      <c r="EA1039" s="428"/>
      <c r="EB1039" s="428"/>
      <c r="EC1039" s="428"/>
      <c r="ED1039" s="428"/>
      <c r="EE1039" s="428"/>
      <c r="EF1039" s="428"/>
      <c r="EG1039" s="428"/>
      <c r="EH1039" s="428"/>
      <c r="EI1039" s="428"/>
      <c r="EJ1039" s="428"/>
      <c r="EK1039" s="428"/>
      <c r="EL1039" s="428"/>
      <c r="EM1039" s="428"/>
      <c r="EN1039" s="428"/>
      <c r="EO1039" s="428"/>
      <c r="EP1039" s="428"/>
      <c r="EQ1039" s="428"/>
      <c r="ER1039" s="428"/>
      <c r="ES1039" s="428"/>
      <c r="ET1039" s="428"/>
      <c r="EU1039" s="428"/>
      <c r="EV1039" s="428"/>
      <c r="EW1039" s="428"/>
      <c r="EX1039" s="428"/>
      <c r="EY1039" s="428"/>
      <c r="EZ1039" s="428"/>
      <c r="FA1039" s="428"/>
      <c r="FB1039" s="428"/>
      <c r="FC1039" s="428"/>
      <c r="FD1039" s="428"/>
      <c r="FE1039" s="428"/>
      <c r="FF1039" s="428"/>
      <c r="FG1039" s="428"/>
      <c r="FH1039" s="428"/>
      <c r="FI1039" s="428"/>
      <c r="FJ1039" s="428"/>
      <c r="FK1039" s="428"/>
      <c r="FL1039" s="428"/>
      <c r="FM1039" s="428"/>
      <c r="FN1039" s="428"/>
      <c r="FO1039" s="428"/>
      <c r="FP1039" s="428"/>
      <c r="FQ1039" s="428"/>
      <c r="FR1039" s="428"/>
      <c r="FS1039" s="428"/>
      <c r="FT1039" s="428"/>
      <c r="FU1039" s="428"/>
      <c r="FV1039" s="428"/>
      <c r="FW1039" s="428"/>
      <c r="FX1039" s="428"/>
      <c r="FY1039" s="428"/>
      <c r="FZ1039" s="428"/>
      <c r="GA1039" s="428"/>
      <c r="GB1039" s="428"/>
      <c r="GC1039" s="428"/>
      <c r="GD1039" s="428"/>
      <c r="GE1039" s="428"/>
      <c r="GF1039" s="428"/>
      <c r="GG1039" s="428"/>
      <c r="GH1039" s="428"/>
      <c r="GI1039" s="428"/>
      <c r="GJ1039" s="428"/>
      <c r="GK1039" s="428"/>
      <c r="GL1039" s="428"/>
      <c r="GM1039" s="428"/>
      <c r="GN1039" s="428"/>
      <c r="GO1039" s="428"/>
      <c r="GP1039" s="428"/>
      <c r="GQ1039" s="428"/>
      <c r="GR1039" s="428"/>
      <c r="GS1039" s="428"/>
      <c r="GT1039" s="428"/>
      <c r="GU1039" s="428"/>
      <c r="GV1039" s="428"/>
      <c r="GW1039" s="428"/>
      <c r="GX1039" s="428"/>
      <c r="GY1039" s="428"/>
      <c r="GZ1039" s="428"/>
      <c r="HA1039" s="428"/>
      <c r="HB1039" s="428"/>
      <c r="HC1039" s="428"/>
      <c r="HD1039" s="428"/>
      <c r="HE1039" s="428"/>
      <c r="HF1039" s="428"/>
      <c r="HG1039" s="428"/>
      <c r="HH1039" s="428"/>
      <c r="HI1039" s="428"/>
      <c r="HJ1039" s="428"/>
      <c r="HK1039" s="428"/>
      <c r="HL1039" s="428"/>
      <c r="HM1039" s="428"/>
      <c r="HN1039" s="428"/>
      <c r="HO1039" s="428"/>
      <c r="HP1039" s="428"/>
      <c r="HQ1039" s="428"/>
      <c r="HR1039" s="428"/>
    </row>
    <row r="1040" spans="1:226" s="429" customFormat="1" ht="24.95" customHeight="1">
      <c r="A1040" s="1782" t="s">
        <v>320</v>
      </c>
      <c r="B1040" s="1833" t="s">
        <v>511</v>
      </c>
      <c r="C1040" s="1824" t="s">
        <v>116</v>
      </c>
      <c r="D1040" s="1817" t="s">
        <v>219</v>
      </c>
      <c r="E1040" s="1361" t="s">
        <v>322</v>
      </c>
      <c r="F1040" s="1362">
        <f>SUM(F1041,F1048)</f>
        <v>223000</v>
      </c>
      <c r="G1040" s="1362">
        <f>SUM(G1041,G1048)</f>
        <v>0</v>
      </c>
      <c r="H1040" s="1362">
        <f>SUM(H1041,H1048)</f>
        <v>0</v>
      </c>
      <c r="I1040" s="1362">
        <f>SUM(I1041,I1048)</f>
        <v>223000</v>
      </c>
      <c r="J1040" s="1363">
        <f>SUM(J1041,J1048)</f>
        <v>0</v>
      </c>
      <c r="K1040" s="428"/>
    </row>
    <row r="1041" spans="1:11" s="429" customFormat="1" ht="35.1" customHeight="1">
      <c r="A1041" s="1772"/>
      <c r="B1041" s="1774"/>
      <c r="C1041" s="1806"/>
      <c r="D1041" s="1818"/>
      <c r="E1041" s="1346" t="s">
        <v>323</v>
      </c>
      <c r="F1041" s="1347">
        <f>SUM(F1042,F1045)</f>
        <v>0</v>
      </c>
      <c r="G1041" s="1347">
        <f>SUM(G1042,G1045)</f>
        <v>0</v>
      </c>
      <c r="H1041" s="1347">
        <f>SUM(H1042,H1045)</f>
        <v>0</v>
      </c>
      <c r="I1041" s="1347">
        <f>SUM(I1042,I1045)</f>
        <v>0</v>
      </c>
      <c r="J1041" s="1348">
        <f>SUM(J1042,J1045)</f>
        <v>0</v>
      </c>
      <c r="K1041" s="428"/>
    </row>
    <row r="1042" spans="1:11" s="429" customFormat="1" ht="39.950000000000003" hidden="1" customHeight="1">
      <c r="A1042" s="1772"/>
      <c r="B1042" s="1774"/>
      <c r="C1042" s="1806"/>
      <c r="D1042" s="1818"/>
      <c r="E1042" s="1349" t="s">
        <v>335</v>
      </c>
      <c r="F1042" s="1350">
        <f>SUM(F1043:F1044)</f>
        <v>0</v>
      </c>
      <c r="G1042" s="1350">
        <f>SUM(G1043:G1044)</f>
        <v>0</v>
      </c>
      <c r="H1042" s="1350">
        <f>SUM(H1043:H1044)</f>
        <v>0</v>
      </c>
      <c r="I1042" s="1350">
        <f>SUM(I1043:I1044)</f>
        <v>0</v>
      </c>
      <c r="J1042" s="1351">
        <f>SUM(J1043:J1044)</f>
        <v>0</v>
      </c>
      <c r="K1042" s="428"/>
    </row>
    <row r="1043" spans="1:11" s="429" customFormat="1" ht="39.950000000000003" hidden="1" customHeight="1">
      <c r="A1043" s="1772"/>
      <c r="B1043" s="1774"/>
      <c r="C1043" s="1806"/>
      <c r="D1043" s="1818"/>
      <c r="E1043" s="1352"/>
      <c r="F1043" s="1353">
        <f>SUM(G1043:J1043)</f>
        <v>0</v>
      </c>
      <c r="G1043" s="1353"/>
      <c r="H1043" s="1353"/>
      <c r="I1043" s="1353"/>
      <c r="J1043" s="1354"/>
      <c r="K1043" s="428"/>
    </row>
    <row r="1044" spans="1:11" s="429" customFormat="1" ht="39.950000000000003" hidden="1" customHeight="1">
      <c r="A1044" s="1772"/>
      <c r="B1044" s="1774"/>
      <c r="C1044" s="1806"/>
      <c r="D1044" s="1818"/>
      <c r="E1044" s="1352"/>
      <c r="F1044" s="1353">
        <f>SUM(G1044:J1044)</f>
        <v>0</v>
      </c>
      <c r="G1044" s="1353"/>
      <c r="H1044" s="1353"/>
      <c r="I1044" s="1353"/>
      <c r="J1044" s="1354"/>
      <c r="K1044" s="428"/>
    </row>
    <row r="1045" spans="1:11" s="429" customFormat="1" ht="39.950000000000003" hidden="1" customHeight="1">
      <c r="A1045" s="1772"/>
      <c r="B1045" s="1774"/>
      <c r="C1045" s="1806"/>
      <c r="D1045" s="1818"/>
      <c r="E1045" s="1349" t="s">
        <v>340</v>
      </c>
      <c r="F1045" s="1350">
        <f>SUM(F1046:F1047)</f>
        <v>0</v>
      </c>
      <c r="G1045" s="1350">
        <f>SUM(G1046:G1047)</f>
        <v>0</v>
      </c>
      <c r="H1045" s="1350">
        <f>SUM(H1046:H1047)</f>
        <v>0</v>
      </c>
      <c r="I1045" s="1350">
        <f>SUM(I1046:I1047)</f>
        <v>0</v>
      </c>
      <c r="J1045" s="1351">
        <f>SUM(J1046:J1047)</f>
        <v>0</v>
      </c>
      <c r="K1045" s="428"/>
    </row>
    <row r="1046" spans="1:11" s="429" customFormat="1" ht="39.950000000000003" hidden="1" customHeight="1">
      <c r="A1046" s="1772"/>
      <c r="B1046" s="1774"/>
      <c r="C1046" s="1806"/>
      <c r="D1046" s="1818"/>
      <c r="E1046" s="1352"/>
      <c r="F1046" s="1353">
        <f>SUM(G1046:J1046)</f>
        <v>0</v>
      </c>
      <c r="G1046" s="1353"/>
      <c r="H1046" s="1353"/>
      <c r="I1046" s="1353"/>
      <c r="J1046" s="1354"/>
      <c r="K1046" s="428"/>
    </row>
    <row r="1047" spans="1:11" s="429" customFormat="1" ht="39.950000000000003" hidden="1" customHeight="1">
      <c r="A1047" s="1772"/>
      <c r="B1047" s="1774"/>
      <c r="C1047" s="1806"/>
      <c r="D1047" s="1818"/>
      <c r="E1047" s="1352"/>
      <c r="F1047" s="1353">
        <f>SUM(G1047:J1047)</f>
        <v>0</v>
      </c>
      <c r="G1047" s="1353"/>
      <c r="H1047" s="1353"/>
      <c r="I1047" s="1353"/>
      <c r="J1047" s="1354"/>
      <c r="K1047" s="428"/>
    </row>
    <row r="1048" spans="1:11" s="429" customFormat="1" ht="35.1" customHeight="1">
      <c r="A1048" s="1772"/>
      <c r="B1048" s="1774"/>
      <c r="C1048" s="1806"/>
      <c r="D1048" s="1818"/>
      <c r="E1048" s="1355" t="s">
        <v>324</v>
      </c>
      <c r="F1048" s="1347">
        <f>SUM(F1049:F1049)</f>
        <v>223000</v>
      </c>
      <c r="G1048" s="1347">
        <f>SUM(G1049:G1049)</f>
        <v>0</v>
      </c>
      <c r="H1048" s="1347">
        <f>SUM(H1049:H1049)</f>
        <v>0</v>
      </c>
      <c r="I1048" s="1347">
        <f>SUM(I1049:I1049)</f>
        <v>223000</v>
      </c>
      <c r="J1048" s="1348">
        <f>SUM(J1049:J1049)</f>
        <v>0</v>
      </c>
      <c r="K1048" s="428"/>
    </row>
    <row r="1049" spans="1:11" s="429" customFormat="1" ht="50.1" customHeight="1" thickBot="1">
      <c r="A1049" s="1783"/>
      <c r="B1049" s="1821"/>
      <c r="C1049" s="1825"/>
      <c r="D1049" s="1819"/>
      <c r="E1049" s="1374" t="s">
        <v>405</v>
      </c>
      <c r="F1049" s="1357">
        <f>SUM(G1049:J1049)</f>
        <v>223000</v>
      </c>
      <c r="G1049" s="1357"/>
      <c r="H1049" s="1357"/>
      <c r="I1049" s="1357">
        <v>223000</v>
      </c>
      <c r="J1049" s="1373"/>
      <c r="K1049" s="428"/>
    </row>
    <row r="1050" spans="1:11" s="429" customFormat="1" ht="24.95" customHeight="1">
      <c r="A1050" s="1809" t="s">
        <v>327</v>
      </c>
      <c r="B1050" s="1827" t="s">
        <v>512</v>
      </c>
      <c r="C1050" s="1818" t="s">
        <v>116</v>
      </c>
      <c r="D1050" s="1818" t="s">
        <v>219</v>
      </c>
      <c r="E1050" s="1340" t="s">
        <v>322</v>
      </c>
      <c r="F1050" s="1341">
        <f>SUM(F1051,F1058)</f>
        <v>68000</v>
      </c>
      <c r="G1050" s="1341">
        <f>SUM(G1051,G1058)</f>
        <v>0</v>
      </c>
      <c r="H1050" s="1341">
        <f>SUM(H1051,H1058)</f>
        <v>0</v>
      </c>
      <c r="I1050" s="1341">
        <f>SUM(I1051,I1058)</f>
        <v>68000</v>
      </c>
      <c r="J1050" s="1342">
        <f>SUM(J1051,J1058)</f>
        <v>0</v>
      </c>
      <c r="K1050" s="428"/>
    </row>
    <row r="1051" spans="1:11" s="429" customFormat="1" ht="20.100000000000001" customHeight="1">
      <c r="A1051" s="1809"/>
      <c r="B1051" s="1827"/>
      <c r="C1051" s="1818"/>
      <c r="D1051" s="1818"/>
      <c r="E1051" s="1346" t="s">
        <v>323</v>
      </c>
      <c r="F1051" s="1347">
        <f>SUM(F1052,F1055)</f>
        <v>0</v>
      </c>
      <c r="G1051" s="1347">
        <f>SUM(G1052,G1055)</f>
        <v>0</v>
      </c>
      <c r="H1051" s="1347">
        <f>SUM(H1052,H1055)</f>
        <v>0</v>
      </c>
      <c r="I1051" s="1347">
        <f>SUM(I1052,I1055)</f>
        <v>0</v>
      </c>
      <c r="J1051" s="1348">
        <f>SUM(J1052,J1055)</f>
        <v>0</v>
      </c>
      <c r="K1051" s="428"/>
    </row>
    <row r="1052" spans="1:11" s="429" customFormat="1" ht="30" hidden="1" customHeight="1">
      <c r="A1052" s="1809"/>
      <c r="B1052" s="1827"/>
      <c r="C1052" s="1818"/>
      <c r="D1052" s="1818"/>
      <c r="E1052" s="1349" t="s">
        <v>335</v>
      </c>
      <c r="F1052" s="1350">
        <f>SUM(F1053:F1054)</f>
        <v>0</v>
      </c>
      <c r="G1052" s="1350">
        <f>SUM(G1053:G1054)</f>
        <v>0</v>
      </c>
      <c r="H1052" s="1350">
        <f>SUM(H1053:H1054)</f>
        <v>0</v>
      </c>
      <c r="I1052" s="1350">
        <f>SUM(I1053:I1054)</f>
        <v>0</v>
      </c>
      <c r="J1052" s="1351">
        <f>SUM(J1053:J1054)</f>
        <v>0</v>
      </c>
      <c r="K1052" s="428"/>
    </row>
    <row r="1053" spans="1:11" s="429" customFormat="1" ht="30" hidden="1" customHeight="1">
      <c r="A1053" s="1809"/>
      <c r="B1053" s="1827"/>
      <c r="C1053" s="1818"/>
      <c r="D1053" s="1818"/>
      <c r="E1053" s="1352"/>
      <c r="F1053" s="1353">
        <f>SUM(G1053:J1053)</f>
        <v>0</v>
      </c>
      <c r="G1053" s="1353"/>
      <c r="H1053" s="1353"/>
      <c r="I1053" s="1353"/>
      <c r="J1053" s="1354"/>
      <c r="K1053" s="428"/>
    </row>
    <row r="1054" spans="1:11" s="429" customFormat="1" ht="30" hidden="1" customHeight="1">
      <c r="A1054" s="1809"/>
      <c r="B1054" s="1827"/>
      <c r="C1054" s="1818"/>
      <c r="D1054" s="1818"/>
      <c r="E1054" s="1352"/>
      <c r="F1054" s="1353">
        <f>SUM(G1054:J1054)</f>
        <v>0</v>
      </c>
      <c r="G1054" s="1353"/>
      <c r="H1054" s="1353"/>
      <c r="I1054" s="1353"/>
      <c r="J1054" s="1354"/>
      <c r="K1054" s="428"/>
    </row>
    <row r="1055" spans="1:11" s="429" customFormat="1" ht="30" hidden="1" customHeight="1">
      <c r="A1055" s="1809"/>
      <c r="B1055" s="1827"/>
      <c r="C1055" s="1818"/>
      <c r="D1055" s="1818"/>
      <c r="E1055" s="1349" t="s">
        <v>340</v>
      </c>
      <c r="F1055" s="1350">
        <f>SUM(F1056:F1057)</f>
        <v>0</v>
      </c>
      <c r="G1055" s="1350">
        <f>SUM(G1056:G1057)</f>
        <v>0</v>
      </c>
      <c r="H1055" s="1350">
        <f>SUM(H1056:H1057)</f>
        <v>0</v>
      </c>
      <c r="I1055" s="1350">
        <f>SUM(I1056:I1057)</f>
        <v>0</v>
      </c>
      <c r="J1055" s="1351">
        <f>SUM(J1056:J1057)</f>
        <v>0</v>
      </c>
      <c r="K1055" s="428"/>
    </row>
    <row r="1056" spans="1:11" s="429" customFormat="1" ht="30" hidden="1" customHeight="1">
      <c r="A1056" s="1809"/>
      <c r="B1056" s="1827"/>
      <c r="C1056" s="1818"/>
      <c r="D1056" s="1818"/>
      <c r="E1056" s="1352"/>
      <c r="F1056" s="1353">
        <f>SUM(G1056:J1056)</f>
        <v>0</v>
      </c>
      <c r="G1056" s="1353"/>
      <c r="H1056" s="1353"/>
      <c r="I1056" s="1353"/>
      <c r="J1056" s="1354"/>
      <c r="K1056" s="428"/>
    </row>
    <row r="1057" spans="1:226" s="429" customFormat="1" ht="30" hidden="1" customHeight="1">
      <c r="A1057" s="1809"/>
      <c r="B1057" s="1827"/>
      <c r="C1057" s="1818"/>
      <c r="D1057" s="1818"/>
      <c r="E1057" s="1352"/>
      <c r="F1057" s="1353">
        <f>SUM(G1057:J1057)</f>
        <v>0</v>
      </c>
      <c r="G1057" s="1353"/>
      <c r="H1057" s="1353"/>
      <c r="I1057" s="1353"/>
      <c r="J1057" s="1354"/>
      <c r="K1057" s="428"/>
    </row>
    <row r="1058" spans="1:226" s="429" customFormat="1" ht="20.100000000000001" customHeight="1">
      <c r="A1058" s="1809"/>
      <c r="B1058" s="1827"/>
      <c r="C1058" s="1818"/>
      <c r="D1058" s="1818"/>
      <c r="E1058" s="1355" t="s">
        <v>324</v>
      </c>
      <c r="F1058" s="1347">
        <f>SUM(F1059:F1060)</f>
        <v>68000</v>
      </c>
      <c r="G1058" s="1347">
        <f>SUM(G1059:G1060)</f>
        <v>0</v>
      </c>
      <c r="H1058" s="1347">
        <f>SUM(H1059:H1060)</f>
        <v>0</v>
      </c>
      <c r="I1058" s="1347">
        <f>SUM(I1059:I1060)</f>
        <v>68000</v>
      </c>
      <c r="J1058" s="1348">
        <f>SUM(J1059:J1060)</f>
        <v>0</v>
      </c>
      <c r="K1058" s="428"/>
    </row>
    <row r="1059" spans="1:226" s="429" customFormat="1" ht="15" customHeight="1" thickBot="1">
      <c r="A1059" s="1809"/>
      <c r="B1059" s="1827"/>
      <c r="C1059" s="1818"/>
      <c r="D1059" s="1832"/>
      <c r="E1059" s="1352" t="s">
        <v>405</v>
      </c>
      <c r="F1059" s="1353">
        <f>SUM(G1059:J1059)</f>
        <v>68000</v>
      </c>
      <c r="G1059" s="1353"/>
      <c r="H1059" s="1353"/>
      <c r="I1059" s="1353">
        <v>68000</v>
      </c>
      <c r="J1059" s="1354"/>
      <c r="K1059" s="428"/>
    </row>
    <row r="1060" spans="1:226" s="429" customFormat="1" ht="15" hidden="1" customHeight="1">
      <c r="A1060" s="1809"/>
      <c r="B1060" s="1827"/>
      <c r="C1060" s="1818"/>
      <c r="D1060" s="1384" t="s">
        <v>513</v>
      </c>
      <c r="E1060" s="1384" t="s">
        <v>405</v>
      </c>
      <c r="F1060" s="1353">
        <f>SUM(G1060:J1060)</f>
        <v>0</v>
      </c>
      <c r="G1060" s="1359"/>
      <c r="H1060" s="1359"/>
      <c r="I1060" s="1359"/>
      <c r="J1060" s="1360"/>
      <c r="K1060" s="428"/>
    </row>
    <row r="1061" spans="1:226" s="418" customFormat="1" ht="30" customHeight="1">
      <c r="A1061" s="430" t="s">
        <v>514</v>
      </c>
      <c r="B1061" s="1837" t="s">
        <v>515</v>
      </c>
      <c r="C1061" s="1838"/>
      <c r="D1061" s="1838"/>
      <c r="E1061" s="1839"/>
      <c r="F1061" s="431">
        <f>F1063</f>
        <v>3455306</v>
      </c>
      <c r="G1061" s="431">
        <f t="shared" ref="G1061:J1061" si="93">G1063</f>
        <v>905467</v>
      </c>
      <c r="H1061" s="431">
        <f t="shared" si="93"/>
        <v>2549839</v>
      </c>
      <c r="I1061" s="431">
        <f t="shared" si="93"/>
        <v>0</v>
      </c>
      <c r="J1061" s="432">
        <f t="shared" si="93"/>
        <v>0</v>
      </c>
      <c r="K1061" s="416"/>
    </row>
    <row r="1062" spans="1:226" s="418" customFormat="1" ht="15" customHeight="1" thickBot="1">
      <c r="A1062" s="1840"/>
      <c r="B1062" s="1841"/>
      <c r="C1062" s="1841"/>
      <c r="D1062" s="1841"/>
      <c r="E1062" s="1841"/>
      <c r="F1062" s="1841"/>
      <c r="G1062" s="1841"/>
      <c r="H1062" s="1841"/>
      <c r="I1062" s="1841"/>
      <c r="J1062" s="1842"/>
      <c r="K1062" s="416"/>
      <c r="L1062" s="416"/>
      <c r="M1062" s="416"/>
      <c r="N1062" s="416"/>
      <c r="O1062" s="416"/>
      <c r="P1062" s="416"/>
      <c r="Q1062" s="416"/>
      <c r="R1062" s="416"/>
      <c r="S1062" s="416"/>
      <c r="T1062" s="416"/>
      <c r="U1062" s="416"/>
      <c r="V1062" s="416"/>
      <c r="W1062" s="416"/>
      <c r="X1062" s="416"/>
      <c r="Y1062" s="416"/>
      <c r="Z1062" s="416"/>
      <c r="AA1062" s="416"/>
      <c r="AB1062" s="416"/>
      <c r="AC1062" s="416"/>
      <c r="AD1062" s="416"/>
      <c r="AE1062" s="416"/>
      <c r="AF1062" s="416"/>
      <c r="AG1062" s="416"/>
      <c r="AH1062" s="416"/>
      <c r="AI1062" s="416"/>
      <c r="AJ1062" s="416"/>
      <c r="AK1062" s="416"/>
      <c r="AL1062" s="416"/>
      <c r="AM1062" s="416"/>
      <c r="AN1062" s="416"/>
      <c r="AO1062" s="416"/>
      <c r="AP1062" s="416"/>
      <c r="AQ1062" s="416"/>
      <c r="AR1062" s="416"/>
      <c r="AS1062" s="416"/>
      <c r="AT1062" s="416"/>
      <c r="AU1062" s="416"/>
      <c r="AV1062" s="416"/>
      <c r="AW1062" s="416"/>
      <c r="AX1062" s="416"/>
      <c r="AY1062" s="416"/>
      <c r="AZ1062" s="416"/>
      <c r="BA1062" s="416"/>
      <c r="BB1062" s="416"/>
      <c r="BC1062" s="416"/>
      <c r="BD1062" s="416"/>
      <c r="BE1062" s="416"/>
      <c r="BF1062" s="416"/>
      <c r="BG1062" s="416"/>
      <c r="BH1062" s="416"/>
      <c r="BI1062" s="416"/>
      <c r="BJ1062" s="416"/>
      <c r="BK1062" s="416"/>
      <c r="BL1062" s="416"/>
      <c r="BM1062" s="416"/>
      <c r="BN1062" s="416"/>
      <c r="BO1062" s="416"/>
      <c r="BP1062" s="416"/>
      <c r="BQ1062" s="416"/>
      <c r="BR1062" s="416"/>
      <c r="BS1062" s="416"/>
      <c r="BT1062" s="416"/>
      <c r="BU1062" s="416"/>
      <c r="BV1062" s="416"/>
      <c r="BW1062" s="416"/>
      <c r="BX1062" s="416"/>
      <c r="BY1062" s="416"/>
      <c r="BZ1062" s="416"/>
      <c r="CA1062" s="416"/>
      <c r="CB1062" s="416"/>
      <c r="CC1062" s="416"/>
      <c r="CD1062" s="416"/>
      <c r="CE1062" s="416"/>
      <c r="CF1062" s="416"/>
      <c r="CG1062" s="416"/>
      <c r="CH1062" s="416"/>
      <c r="CI1062" s="416"/>
      <c r="CJ1062" s="416"/>
      <c r="CK1062" s="416"/>
      <c r="CL1062" s="416"/>
      <c r="CM1062" s="416"/>
      <c r="CN1062" s="416"/>
      <c r="CO1062" s="416"/>
      <c r="CP1062" s="416"/>
      <c r="CQ1062" s="416"/>
      <c r="CR1062" s="416"/>
      <c r="CS1062" s="416"/>
      <c r="CT1062" s="416"/>
      <c r="CU1062" s="416"/>
      <c r="CV1062" s="416"/>
      <c r="CW1062" s="416"/>
      <c r="CX1062" s="416"/>
      <c r="CY1062" s="416"/>
      <c r="CZ1062" s="416"/>
      <c r="DA1062" s="416"/>
      <c r="DB1062" s="416"/>
      <c r="DC1062" s="416"/>
      <c r="DD1062" s="416"/>
      <c r="DE1062" s="416"/>
      <c r="DF1062" s="416"/>
      <c r="DG1062" s="416"/>
      <c r="DH1062" s="416"/>
      <c r="DI1062" s="416"/>
      <c r="DJ1062" s="416"/>
      <c r="DK1062" s="416"/>
      <c r="DL1062" s="416"/>
      <c r="DM1062" s="416"/>
      <c r="DN1062" s="416"/>
      <c r="DO1062" s="416"/>
      <c r="DP1062" s="416"/>
      <c r="DQ1062" s="416"/>
      <c r="DR1062" s="416"/>
      <c r="DS1062" s="416"/>
      <c r="DT1062" s="416"/>
      <c r="DU1062" s="416"/>
      <c r="DV1062" s="416"/>
      <c r="DW1062" s="416"/>
      <c r="DX1062" s="416"/>
      <c r="DY1062" s="416"/>
      <c r="DZ1062" s="416"/>
      <c r="EA1062" s="416"/>
      <c r="EB1062" s="416"/>
      <c r="EC1062" s="416"/>
      <c r="ED1062" s="416"/>
      <c r="EE1062" s="416"/>
      <c r="EF1062" s="416"/>
      <c r="EG1062" s="416"/>
      <c r="EH1062" s="416"/>
      <c r="EI1062" s="416"/>
      <c r="EJ1062" s="416"/>
      <c r="EK1062" s="416"/>
      <c r="EL1062" s="416"/>
      <c r="EM1062" s="416"/>
      <c r="EN1062" s="416"/>
      <c r="EO1062" s="416"/>
      <c r="EP1062" s="416"/>
      <c r="EQ1062" s="416"/>
      <c r="ER1062" s="416"/>
      <c r="ES1062" s="416"/>
      <c r="ET1062" s="416"/>
      <c r="EU1062" s="416"/>
      <c r="EV1062" s="416"/>
      <c r="EW1062" s="416"/>
      <c r="EX1062" s="416"/>
      <c r="EY1062" s="416"/>
      <c r="EZ1062" s="416"/>
      <c r="FA1062" s="416"/>
      <c r="FB1062" s="416"/>
      <c r="FC1062" s="416"/>
      <c r="FD1062" s="416"/>
      <c r="FE1062" s="416"/>
      <c r="FF1062" s="416"/>
      <c r="FG1062" s="416"/>
      <c r="FH1062" s="416"/>
      <c r="FI1062" s="416"/>
      <c r="FJ1062" s="416"/>
      <c r="FK1062" s="416"/>
      <c r="FL1062" s="416"/>
      <c r="FM1062" s="416"/>
      <c r="FN1062" s="416"/>
      <c r="FO1062" s="416"/>
      <c r="FP1062" s="416"/>
      <c r="FQ1062" s="416"/>
      <c r="FR1062" s="416"/>
      <c r="FS1062" s="416"/>
      <c r="FT1062" s="416"/>
      <c r="FU1062" s="416"/>
      <c r="FV1062" s="416"/>
      <c r="FW1062" s="416"/>
      <c r="FX1062" s="416"/>
      <c r="FY1062" s="416"/>
      <c r="FZ1062" s="416"/>
      <c r="GA1062" s="416"/>
      <c r="GB1062" s="416"/>
      <c r="GC1062" s="416"/>
      <c r="GD1062" s="416"/>
      <c r="GE1062" s="416"/>
      <c r="GF1062" s="416"/>
      <c r="GG1062" s="416"/>
      <c r="GH1062" s="416"/>
      <c r="GI1062" s="416"/>
      <c r="GJ1062" s="416"/>
      <c r="GK1062" s="416"/>
      <c r="GL1062" s="416"/>
      <c r="GM1062" s="416"/>
      <c r="GN1062" s="416"/>
      <c r="GO1062" s="416"/>
      <c r="GP1062" s="416"/>
      <c r="GQ1062" s="416"/>
      <c r="GR1062" s="416"/>
      <c r="GS1062" s="416"/>
      <c r="GT1062" s="416"/>
      <c r="GU1062" s="416"/>
      <c r="GV1062" s="416"/>
      <c r="GW1062" s="416"/>
      <c r="GX1062" s="416"/>
      <c r="GY1062" s="416"/>
      <c r="GZ1062" s="416"/>
      <c r="HA1062" s="416"/>
      <c r="HB1062" s="416"/>
      <c r="HC1062" s="416"/>
      <c r="HD1062" s="416"/>
      <c r="HE1062" s="416"/>
      <c r="HF1062" s="416"/>
      <c r="HG1062" s="416"/>
      <c r="HH1062" s="416"/>
      <c r="HI1062" s="416"/>
      <c r="HJ1062" s="416"/>
      <c r="HK1062" s="416"/>
      <c r="HL1062" s="416"/>
      <c r="HM1062" s="416"/>
      <c r="HN1062" s="416"/>
      <c r="HO1062" s="416"/>
      <c r="HP1062" s="416"/>
      <c r="HQ1062" s="416"/>
      <c r="HR1062" s="416"/>
    </row>
    <row r="1063" spans="1:226" s="418" customFormat="1" ht="24.95" customHeight="1">
      <c r="A1063" s="1808" t="s">
        <v>320</v>
      </c>
      <c r="B1063" s="1826" t="s">
        <v>516</v>
      </c>
      <c r="C1063" s="1814">
        <v>710</v>
      </c>
      <c r="D1063" s="1817" t="s">
        <v>227</v>
      </c>
      <c r="E1063" s="1361" t="s">
        <v>322</v>
      </c>
      <c r="F1063" s="1362">
        <f>SUM(F1064,F1072)</f>
        <v>3455306</v>
      </c>
      <c r="G1063" s="1362">
        <f>SUM(G1064,G1072)</f>
        <v>905467</v>
      </c>
      <c r="H1063" s="1362">
        <f>SUM(H1064,H1072)</f>
        <v>2549839</v>
      </c>
      <c r="I1063" s="1362">
        <f>SUM(I1064,I1072)</f>
        <v>0</v>
      </c>
      <c r="J1063" s="1363">
        <f>SUM(J1064,J1072)</f>
        <v>0</v>
      </c>
      <c r="K1063" s="416"/>
    </row>
    <row r="1064" spans="1:226" s="418" customFormat="1" ht="24.95" customHeight="1">
      <c r="A1064" s="1809"/>
      <c r="B1064" s="1827"/>
      <c r="C1064" s="1815"/>
      <c r="D1064" s="1818"/>
      <c r="E1064" s="1346" t="s">
        <v>323</v>
      </c>
      <c r="F1064" s="1347">
        <f>SUM(F1065,F1068)</f>
        <v>2130982</v>
      </c>
      <c r="G1064" s="1347">
        <f>SUM(G1065,G1068)</f>
        <v>706818</v>
      </c>
      <c r="H1064" s="1347">
        <f>SUM(H1065,H1068)</f>
        <v>1424164</v>
      </c>
      <c r="I1064" s="1347">
        <f>SUM(I1065,I1068)</f>
        <v>0</v>
      </c>
      <c r="J1064" s="1348">
        <f>SUM(J1065,J1068)</f>
        <v>0</v>
      </c>
      <c r="K1064" s="416"/>
    </row>
    <row r="1065" spans="1:226" s="418" customFormat="1" ht="24.95" hidden="1" customHeight="1">
      <c r="A1065" s="1809"/>
      <c r="B1065" s="1827"/>
      <c r="C1065" s="1815"/>
      <c r="D1065" s="1818"/>
      <c r="E1065" s="1349" t="s">
        <v>335</v>
      </c>
      <c r="F1065" s="1350">
        <f>SUM(F1066:F1067)</f>
        <v>0</v>
      </c>
      <c r="G1065" s="1350">
        <f>SUM(G1066:G1067)</f>
        <v>0</v>
      </c>
      <c r="H1065" s="1350">
        <f>SUM(H1066:H1067)</f>
        <v>0</v>
      </c>
      <c r="I1065" s="1350">
        <f>SUM(I1066:I1067)</f>
        <v>0</v>
      </c>
      <c r="J1065" s="1351">
        <f>SUM(J1066:J1067)</f>
        <v>0</v>
      </c>
      <c r="K1065" s="416"/>
    </row>
    <row r="1066" spans="1:226" s="418" customFormat="1" ht="15" hidden="1" customHeight="1">
      <c r="A1066" s="1809"/>
      <c r="B1066" s="1827"/>
      <c r="C1066" s="1815"/>
      <c r="D1066" s="1818"/>
      <c r="E1066" s="1352"/>
      <c r="F1066" s="1353">
        <f>SUM(G1066:J1066)</f>
        <v>0</v>
      </c>
      <c r="G1066" s="1353"/>
      <c r="H1066" s="1353"/>
      <c r="I1066" s="1353"/>
      <c r="J1066" s="1354"/>
      <c r="K1066" s="416"/>
    </row>
    <row r="1067" spans="1:226" s="418" customFormat="1" ht="15" hidden="1" customHeight="1">
      <c r="A1067" s="1809"/>
      <c r="B1067" s="1827"/>
      <c r="C1067" s="1815"/>
      <c r="D1067" s="1818"/>
      <c r="E1067" s="1352"/>
      <c r="F1067" s="1353">
        <f>SUM(G1067:J1067)</f>
        <v>0</v>
      </c>
      <c r="G1067" s="1353"/>
      <c r="H1067" s="1353"/>
      <c r="I1067" s="1353"/>
      <c r="J1067" s="1354"/>
      <c r="K1067" s="416"/>
    </row>
    <row r="1068" spans="1:226" s="418" customFormat="1" ht="24.95" customHeight="1">
      <c r="A1068" s="1809"/>
      <c r="B1068" s="1827"/>
      <c r="C1068" s="1815"/>
      <c r="D1068" s="1818"/>
      <c r="E1068" s="1349" t="s">
        <v>340</v>
      </c>
      <c r="F1068" s="1350">
        <f>SUM(F1069:F1071)</f>
        <v>2130982</v>
      </c>
      <c r="G1068" s="1350">
        <f>SUM(G1069:G1071)</f>
        <v>706818</v>
      </c>
      <c r="H1068" s="1350">
        <f>SUM(H1069:H1071)</f>
        <v>1424164</v>
      </c>
      <c r="I1068" s="1350">
        <f>SUM(I1069:I1071)</f>
        <v>0</v>
      </c>
      <c r="J1068" s="1351">
        <f>SUM(J1069:J1071)</f>
        <v>0</v>
      </c>
      <c r="K1068" s="416"/>
    </row>
    <row r="1069" spans="1:226" s="418" customFormat="1" ht="15" hidden="1" customHeight="1">
      <c r="A1069" s="1809"/>
      <c r="B1069" s="1827"/>
      <c r="C1069" s="1815"/>
      <c r="D1069" s="1818"/>
      <c r="E1069" s="1352" t="s">
        <v>517</v>
      </c>
      <c r="F1069" s="1353">
        <f>SUM(G1069:J1069)</f>
        <v>0</v>
      </c>
      <c r="G1069" s="1353"/>
      <c r="H1069" s="1353"/>
      <c r="I1069" s="1353"/>
      <c r="J1069" s="1354"/>
      <c r="K1069" s="416"/>
    </row>
    <row r="1070" spans="1:226" s="418" customFormat="1" ht="15" customHeight="1">
      <c r="A1070" s="1809"/>
      <c r="B1070" s="1827"/>
      <c r="C1070" s="1815"/>
      <c r="D1070" s="1818"/>
      <c r="E1070" s="1352" t="s">
        <v>394</v>
      </c>
      <c r="F1070" s="1353">
        <f>SUM(G1070:J1070)</f>
        <v>1424164</v>
      </c>
      <c r="G1070" s="1353"/>
      <c r="H1070" s="1353">
        <f>2406912-982748</f>
        <v>1424164</v>
      </c>
      <c r="I1070" s="1353"/>
      <c r="J1070" s="1354"/>
      <c r="K1070" s="416"/>
    </row>
    <row r="1071" spans="1:226" s="418" customFormat="1" ht="15" customHeight="1">
      <c r="A1071" s="1809"/>
      <c r="B1071" s="1827"/>
      <c r="C1071" s="1831"/>
      <c r="D1071" s="1832"/>
      <c r="E1071" s="1352" t="s">
        <v>344</v>
      </c>
      <c r="F1071" s="1353">
        <f>SUM(G1071:J1071)</f>
        <v>706818</v>
      </c>
      <c r="G1071" s="1353">
        <f>1314324-607506</f>
        <v>706818</v>
      </c>
      <c r="H1071" s="1353"/>
      <c r="I1071" s="1353"/>
      <c r="J1071" s="1354"/>
      <c r="K1071" s="416"/>
    </row>
    <row r="1072" spans="1:226" s="418" customFormat="1" ht="26.25" customHeight="1">
      <c r="A1072" s="1809"/>
      <c r="B1072" s="1827"/>
      <c r="C1072" s="1815">
        <v>720</v>
      </c>
      <c r="D1072" s="1818" t="s">
        <v>275</v>
      </c>
      <c r="E1072" s="1355" t="s">
        <v>324</v>
      </c>
      <c r="F1072" s="1347">
        <f>SUM(F1073:F1075)</f>
        <v>1324324</v>
      </c>
      <c r="G1072" s="1347">
        <f t="shared" ref="G1072:J1072" si="94">SUM(G1073:G1075)</f>
        <v>198649</v>
      </c>
      <c r="H1072" s="1347">
        <f t="shared" si="94"/>
        <v>1125675</v>
      </c>
      <c r="I1072" s="1347">
        <f t="shared" si="94"/>
        <v>0</v>
      </c>
      <c r="J1072" s="1348">
        <f t="shared" si="94"/>
        <v>0</v>
      </c>
      <c r="K1072" s="416"/>
    </row>
    <row r="1073" spans="1:11" s="418" customFormat="1" ht="15" hidden="1" customHeight="1">
      <c r="A1073" s="1809"/>
      <c r="B1073" s="1827"/>
      <c r="C1073" s="1815"/>
      <c r="D1073" s="1818"/>
      <c r="E1073" s="1352" t="s">
        <v>405</v>
      </c>
      <c r="F1073" s="1353">
        <f>SUM(G1073:J1073)</f>
        <v>0</v>
      </c>
      <c r="G1073" s="1353"/>
      <c r="H1073" s="1353"/>
      <c r="I1073" s="1353"/>
      <c r="J1073" s="1354"/>
      <c r="K1073" s="416"/>
    </row>
    <row r="1074" spans="1:11" s="418" customFormat="1" ht="15" customHeight="1">
      <c r="A1074" s="1809"/>
      <c r="B1074" s="1827"/>
      <c r="C1074" s="1815"/>
      <c r="D1074" s="1818"/>
      <c r="E1074" s="1384" t="s">
        <v>406</v>
      </c>
      <c r="F1074" s="1353">
        <f>SUM(G1074:J1074)</f>
        <v>1125675</v>
      </c>
      <c r="G1074" s="1359"/>
      <c r="H1074" s="1359">
        <f>2161035-1035360</f>
        <v>1125675</v>
      </c>
      <c r="I1074" s="1359"/>
      <c r="J1074" s="1360"/>
      <c r="K1074" s="416"/>
    </row>
    <row r="1075" spans="1:11" s="418" customFormat="1" ht="15" customHeight="1" thickBot="1">
      <c r="A1075" s="1810"/>
      <c r="B1075" s="1828"/>
      <c r="C1075" s="1816"/>
      <c r="D1075" s="1819"/>
      <c r="E1075" s="1374" t="s">
        <v>451</v>
      </c>
      <c r="F1075" s="1357">
        <f>SUM(G1075:J1075)</f>
        <v>198649</v>
      </c>
      <c r="G1075" s="1357">
        <f>381360-182711</f>
        <v>198649</v>
      </c>
      <c r="H1075" s="1357"/>
      <c r="I1075" s="1357"/>
      <c r="J1075" s="1373"/>
      <c r="K1075" s="416"/>
    </row>
    <row r="1076" spans="1:11" s="429" customFormat="1" ht="24" customHeight="1" thickBot="1">
      <c r="A1076" s="414" t="s">
        <v>518</v>
      </c>
      <c r="B1076" s="1768" t="s">
        <v>519</v>
      </c>
      <c r="C1076" s="1768"/>
      <c r="D1076" s="1768"/>
      <c r="E1076" s="1768"/>
      <c r="F1076" s="1407">
        <f>F1078+F1086+F1101+F1147</f>
        <v>64907971</v>
      </c>
      <c r="G1076" s="1407">
        <f t="shared" ref="G1076:J1076" si="95">G1078+G1086+G1101+G1147</f>
        <v>3085261</v>
      </c>
      <c r="H1076" s="1407">
        <f t="shared" si="95"/>
        <v>0</v>
      </c>
      <c r="I1076" s="1407">
        <f t="shared" si="95"/>
        <v>61822710</v>
      </c>
      <c r="J1076" s="1408">
        <f t="shared" si="95"/>
        <v>0</v>
      </c>
      <c r="K1076" s="428"/>
    </row>
    <row r="1077" spans="1:11" s="418" customFormat="1" ht="13.5" thickBot="1">
      <c r="A1077" s="1834"/>
      <c r="B1077" s="1835"/>
      <c r="C1077" s="1835"/>
      <c r="D1077" s="1835"/>
      <c r="E1077" s="1835"/>
      <c r="F1077" s="1835"/>
      <c r="G1077" s="1835"/>
      <c r="H1077" s="1835"/>
      <c r="I1077" s="1835"/>
      <c r="J1077" s="1836"/>
      <c r="K1077" s="416"/>
    </row>
    <row r="1078" spans="1:11" s="418" customFormat="1" ht="22.5">
      <c r="A1078" s="1782" t="s">
        <v>320</v>
      </c>
      <c r="B1078" s="1833" t="s">
        <v>520</v>
      </c>
      <c r="C1078" s="1787"/>
      <c r="D1078" s="1788"/>
      <c r="E1078" s="1361" t="s">
        <v>322</v>
      </c>
      <c r="F1078" s="1362">
        <f>SUM(F1079,F1083)</f>
        <v>1461000</v>
      </c>
      <c r="G1078" s="1362">
        <f>SUM(G1079,G1083)</f>
        <v>0</v>
      </c>
      <c r="H1078" s="1362">
        <f>SUM(H1079,H1083)</f>
        <v>0</v>
      </c>
      <c r="I1078" s="1362">
        <f>SUM(I1079,I1083)</f>
        <v>1461000</v>
      </c>
      <c r="J1078" s="1363">
        <f>SUM(J1079,J1083)</f>
        <v>0</v>
      </c>
      <c r="K1078" s="416"/>
    </row>
    <row r="1079" spans="1:11" s="418" customFormat="1" ht="16.5" customHeight="1">
      <c r="A1079" s="1772"/>
      <c r="B1079" s="1774"/>
      <c r="C1079" s="1780"/>
      <c r="D1079" s="1781"/>
      <c r="E1079" s="1346" t="s">
        <v>323</v>
      </c>
      <c r="F1079" s="1347">
        <f>SUM(F1080:F1082)</f>
        <v>1461000</v>
      </c>
      <c r="G1079" s="1347">
        <f>SUM(G1080:G1082)</f>
        <v>0</v>
      </c>
      <c r="H1079" s="1347">
        <f>SUM(H1080:H1082)</f>
        <v>0</v>
      </c>
      <c r="I1079" s="1347">
        <f>SUM(I1080:I1082)</f>
        <v>1461000</v>
      </c>
      <c r="J1079" s="1348">
        <f>SUM(J1080:J1082)</f>
        <v>0</v>
      </c>
      <c r="K1079" s="416"/>
    </row>
    <row r="1080" spans="1:11" s="418" customFormat="1" ht="15" customHeight="1">
      <c r="A1080" s="1772"/>
      <c r="B1080" s="1774"/>
      <c r="C1080" s="1805">
        <v>853</v>
      </c>
      <c r="D1080" s="1807" t="s">
        <v>521</v>
      </c>
      <c r="E1080" s="1384" t="s">
        <v>435</v>
      </c>
      <c r="F1080" s="1353">
        <f t="shared" ref="F1080:F1082" si="96">SUM(G1080:J1080)</f>
        <v>1461000</v>
      </c>
      <c r="G1080" s="1353"/>
      <c r="H1080" s="1353"/>
      <c r="I1080" s="1353">
        <v>1461000</v>
      </c>
      <c r="J1080" s="1354"/>
      <c r="K1080" s="416"/>
    </row>
    <row r="1081" spans="1:11" s="418" customFormat="1" ht="15" hidden="1" customHeight="1">
      <c r="A1081" s="1772"/>
      <c r="B1081" s="1774"/>
      <c r="C1081" s="1815"/>
      <c r="D1081" s="1818"/>
      <c r="E1081" s="1384"/>
      <c r="F1081" s="1353">
        <f>SUM(G1081:J1081)</f>
        <v>0</v>
      </c>
      <c r="G1081" s="1353"/>
      <c r="H1081" s="1353"/>
      <c r="I1081" s="1353"/>
      <c r="J1081" s="1354"/>
      <c r="K1081" s="416"/>
    </row>
    <row r="1082" spans="1:11" s="418" customFormat="1" ht="15" hidden="1" customHeight="1">
      <c r="A1082" s="1772"/>
      <c r="B1082" s="1774"/>
      <c r="C1082" s="1831"/>
      <c r="D1082" s="1832"/>
      <c r="E1082" s="1384"/>
      <c r="F1082" s="1353">
        <f t="shared" si="96"/>
        <v>0</v>
      </c>
      <c r="G1082" s="1353"/>
      <c r="H1082" s="1353"/>
      <c r="I1082" s="1353"/>
      <c r="J1082" s="1354"/>
      <c r="K1082" s="416"/>
    </row>
    <row r="1083" spans="1:11" s="418" customFormat="1" ht="15.75" customHeight="1" thickBot="1">
      <c r="A1083" s="1772"/>
      <c r="B1083" s="1774"/>
      <c r="C1083" s="1843"/>
      <c r="D1083" s="1844"/>
      <c r="E1083" s="1355" t="s">
        <v>324</v>
      </c>
      <c r="F1083" s="1347">
        <f>SUM(F1084:F1085)</f>
        <v>0</v>
      </c>
      <c r="G1083" s="1347">
        <f>SUM(G1084:G1085)</f>
        <v>0</v>
      </c>
      <c r="H1083" s="1347">
        <f>SUM(H1084:H1085)</f>
        <v>0</v>
      </c>
      <c r="I1083" s="1347">
        <f>SUM(I1084:I1085)</f>
        <v>0</v>
      </c>
      <c r="J1083" s="1348">
        <f>SUM(J1084:J1085)</f>
        <v>0</v>
      </c>
      <c r="K1083" s="416"/>
    </row>
    <row r="1084" spans="1:11" s="418" customFormat="1" ht="15" hidden="1" customHeight="1">
      <c r="A1084" s="1772"/>
      <c r="B1084" s="1774"/>
      <c r="C1084" s="1385"/>
      <c r="D1084" s="1352"/>
      <c r="E1084" s="1384"/>
      <c r="F1084" s="1353">
        <f t="shared" ref="F1084:F1085" si="97">SUM(G1084:J1084)</f>
        <v>0</v>
      </c>
      <c r="G1084" s="1353"/>
      <c r="H1084" s="1353"/>
      <c r="I1084" s="1353"/>
      <c r="J1084" s="1354"/>
      <c r="K1084" s="416"/>
    </row>
    <row r="1085" spans="1:11" s="418" customFormat="1" ht="15" hidden="1" customHeight="1">
      <c r="A1085" s="1783"/>
      <c r="B1085" s="1821"/>
      <c r="C1085" s="1416"/>
      <c r="D1085" s="1374"/>
      <c r="E1085" s="1374"/>
      <c r="F1085" s="1357">
        <f t="shared" si="97"/>
        <v>0</v>
      </c>
      <c r="G1085" s="1357"/>
      <c r="H1085" s="1357"/>
      <c r="I1085" s="1357"/>
      <c r="J1085" s="1373"/>
      <c r="K1085" s="416"/>
    </row>
    <row r="1086" spans="1:11" s="418" customFormat="1" ht="22.5">
      <c r="A1086" s="1808" t="s">
        <v>327</v>
      </c>
      <c r="B1086" s="1826" t="s">
        <v>522</v>
      </c>
      <c r="C1086" s="1787"/>
      <c r="D1086" s="1788"/>
      <c r="E1086" s="1361" t="s">
        <v>322</v>
      </c>
      <c r="F1086" s="1362">
        <f>SUM(F1087,F1096)</f>
        <v>43112641</v>
      </c>
      <c r="G1086" s="1362">
        <f>SUM(G1087,G1096)</f>
        <v>0</v>
      </c>
      <c r="H1086" s="1362">
        <f>SUM(H1087,H1096)</f>
        <v>0</v>
      </c>
      <c r="I1086" s="1362">
        <f>SUM(I1087,I1096)</f>
        <v>43112641</v>
      </c>
      <c r="J1086" s="1363">
        <f>SUM(J1087,J1096)</f>
        <v>0</v>
      </c>
      <c r="K1086" s="416"/>
    </row>
    <row r="1087" spans="1:11" s="418" customFormat="1" ht="21" customHeight="1">
      <c r="A1087" s="1809"/>
      <c r="B1087" s="1827"/>
      <c r="C1087" s="1780"/>
      <c r="D1087" s="1781"/>
      <c r="E1087" s="1346" t="s">
        <v>323</v>
      </c>
      <c r="F1087" s="1347">
        <f>SUM(F1088:F1095)</f>
        <v>41990641</v>
      </c>
      <c r="G1087" s="1347">
        <f>SUM(G1088:G1095)</f>
        <v>0</v>
      </c>
      <c r="H1087" s="1347">
        <f>SUM(H1088:H1095)</f>
        <v>0</v>
      </c>
      <c r="I1087" s="1347">
        <f>SUM(I1088:I1095)</f>
        <v>41990641</v>
      </c>
      <c r="J1087" s="1348">
        <f>SUM(J1088:J1095)</f>
        <v>0</v>
      </c>
      <c r="K1087" s="416"/>
    </row>
    <row r="1088" spans="1:11" s="418" customFormat="1" ht="15" customHeight="1">
      <c r="A1088" s="1809"/>
      <c r="B1088" s="1827"/>
      <c r="C1088" s="1805">
        <v>150</v>
      </c>
      <c r="D1088" s="1807" t="s">
        <v>325</v>
      </c>
      <c r="E1088" s="1384" t="s">
        <v>435</v>
      </c>
      <c r="F1088" s="1353">
        <f t="shared" ref="F1088:F1095" si="98">SUM(G1088:J1088)</f>
        <v>4981211</v>
      </c>
      <c r="G1088" s="1353"/>
      <c r="H1088" s="1353"/>
      <c r="I1088" s="1353">
        <v>4981211</v>
      </c>
      <c r="J1088" s="1354"/>
      <c r="K1088" s="416"/>
    </row>
    <row r="1089" spans="1:226" s="418" customFormat="1" ht="15" customHeight="1">
      <c r="A1089" s="1809"/>
      <c r="B1089" s="1827"/>
      <c r="C1089" s="1815"/>
      <c r="D1089" s="1818"/>
      <c r="E1089" s="1384" t="s">
        <v>437</v>
      </c>
      <c r="F1089" s="1353">
        <f t="shared" si="98"/>
        <v>280797</v>
      </c>
      <c r="G1089" s="1353"/>
      <c r="H1089" s="1353"/>
      <c r="I1089" s="1353">
        <v>280797</v>
      </c>
      <c r="J1089" s="1354"/>
      <c r="K1089" s="416"/>
    </row>
    <row r="1090" spans="1:226" s="418" customFormat="1" ht="15" customHeight="1">
      <c r="A1090" s="1809"/>
      <c r="B1090" s="1827"/>
      <c r="C1090" s="1804">
        <v>801</v>
      </c>
      <c r="D1090" s="1807" t="s">
        <v>523</v>
      </c>
      <c r="E1090" s="1384" t="s">
        <v>435</v>
      </c>
      <c r="F1090" s="1353">
        <f t="shared" si="98"/>
        <v>6787664</v>
      </c>
      <c r="G1090" s="1353"/>
      <c r="H1090" s="1353"/>
      <c r="I1090" s="1353">
        <v>6787664</v>
      </c>
      <c r="J1090" s="1354"/>
      <c r="K1090" s="416"/>
    </row>
    <row r="1091" spans="1:226" s="418" customFormat="1" ht="15" customHeight="1">
      <c r="A1091" s="1809"/>
      <c r="B1091" s="1827"/>
      <c r="C1091" s="1804"/>
      <c r="D1091" s="1818"/>
      <c r="E1091" s="1384" t="s">
        <v>437</v>
      </c>
      <c r="F1091" s="1353">
        <f t="shared" si="98"/>
        <v>3451471</v>
      </c>
      <c r="G1091" s="1353"/>
      <c r="H1091" s="1353"/>
      <c r="I1091" s="1353">
        <v>3451471</v>
      </c>
      <c r="J1091" s="1354"/>
      <c r="K1091" s="416"/>
    </row>
    <row r="1092" spans="1:226" s="418" customFormat="1" ht="15" customHeight="1">
      <c r="A1092" s="1809"/>
      <c r="B1092" s="1827"/>
      <c r="C1092" s="1804">
        <v>852</v>
      </c>
      <c r="D1092" s="1807" t="s">
        <v>524</v>
      </c>
      <c r="E1092" s="1384" t="s">
        <v>435</v>
      </c>
      <c r="F1092" s="1353">
        <f t="shared" si="98"/>
        <v>13706437</v>
      </c>
      <c r="G1092" s="1353"/>
      <c r="H1092" s="1353"/>
      <c r="I1092" s="1353">
        <v>13706437</v>
      </c>
      <c r="J1092" s="1354"/>
      <c r="K1092" s="416"/>
    </row>
    <row r="1093" spans="1:226" s="418" customFormat="1" ht="15" customHeight="1">
      <c r="A1093" s="1809"/>
      <c r="B1093" s="1827"/>
      <c r="C1093" s="1804"/>
      <c r="D1093" s="1832"/>
      <c r="E1093" s="1384" t="s">
        <v>437</v>
      </c>
      <c r="F1093" s="1353">
        <f t="shared" si="98"/>
        <v>5301617</v>
      </c>
      <c r="G1093" s="1353"/>
      <c r="H1093" s="1353"/>
      <c r="I1093" s="1353">
        <v>5301617</v>
      </c>
      <c r="J1093" s="1354"/>
      <c r="K1093" s="416"/>
    </row>
    <row r="1094" spans="1:226" s="418" customFormat="1" ht="15" customHeight="1">
      <c r="A1094" s="1809"/>
      <c r="B1094" s="1827"/>
      <c r="C1094" s="1805">
        <v>853</v>
      </c>
      <c r="D1094" s="1807" t="s">
        <v>521</v>
      </c>
      <c r="E1094" s="1384" t="s">
        <v>435</v>
      </c>
      <c r="F1094" s="1353">
        <f t="shared" si="98"/>
        <v>6339802</v>
      </c>
      <c r="G1094" s="1353"/>
      <c r="H1094" s="1353"/>
      <c r="I1094" s="1353">
        <v>6339802</v>
      </c>
      <c r="J1094" s="1354"/>
      <c r="K1094" s="416"/>
    </row>
    <row r="1095" spans="1:226" s="418" customFormat="1" ht="15" customHeight="1">
      <c r="A1095" s="1809"/>
      <c r="B1095" s="1827"/>
      <c r="C1095" s="1831"/>
      <c r="D1095" s="1832"/>
      <c r="E1095" s="1384" t="s">
        <v>437</v>
      </c>
      <c r="F1095" s="1353">
        <f t="shared" si="98"/>
        <v>1141642</v>
      </c>
      <c r="G1095" s="1353"/>
      <c r="H1095" s="1353"/>
      <c r="I1095" s="1353">
        <v>1141642</v>
      </c>
      <c r="J1095" s="1354"/>
      <c r="K1095" s="416"/>
    </row>
    <row r="1096" spans="1:226" s="418" customFormat="1" ht="19.5" customHeight="1">
      <c r="A1096" s="1809"/>
      <c r="B1096" s="1827"/>
      <c r="C1096" s="1843"/>
      <c r="D1096" s="1844"/>
      <c r="E1096" s="1355" t="s">
        <v>324</v>
      </c>
      <c r="F1096" s="1347">
        <f>SUM(F1097:F1100)</f>
        <v>1122000</v>
      </c>
      <c r="G1096" s="1347">
        <f>SUM(G1097:G1100)</f>
        <v>0</v>
      </c>
      <c r="H1096" s="1347">
        <f>SUM(H1097:H1100)</f>
        <v>0</v>
      </c>
      <c r="I1096" s="1347">
        <f>SUM(I1097:I1100)</f>
        <v>1122000</v>
      </c>
      <c r="J1096" s="1348">
        <f>SUM(J1097:J1100)</f>
        <v>0</v>
      </c>
      <c r="K1096" s="416"/>
    </row>
    <row r="1097" spans="1:226" s="418" customFormat="1" ht="15" customHeight="1">
      <c r="A1097" s="1809"/>
      <c r="B1097" s="1827"/>
      <c r="C1097" s="1805">
        <v>801</v>
      </c>
      <c r="D1097" s="1807" t="s">
        <v>523</v>
      </c>
      <c r="E1097" s="1352" t="s">
        <v>329</v>
      </c>
      <c r="F1097" s="1353">
        <f t="shared" ref="F1097:F1100" si="99">SUM(G1097:J1097)</f>
        <v>18000</v>
      </c>
      <c r="G1097" s="1353"/>
      <c r="H1097" s="1353"/>
      <c r="I1097" s="1353">
        <v>18000</v>
      </c>
      <c r="J1097" s="1354"/>
      <c r="K1097" s="416"/>
    </row>
    <row r="1098" spans="1:226" s="418" customFormat="1" ht="15" customHeight="1">
      <c r="A1098" s="1809"/>
      <c r="B1098" s="1827"/>
      <c r="C1098" s="1831"/>
      <c r="D1098" s="1832"/>
      <c r="E1098" s="1212" t="s">
        <v>326</v>
      </c>
      <c r="F1098" s="1353">
        <f t="shared" si="99"/>
        <v>222600</v>
      </c>
      <c r="G1098" s="427"/>
      <c r="H1098" s="427"/>
      <c r="I1098" s="427">
        <v>222600</v>
      </c>
      <c r="J1098" s="1382"/>
      <c r="K1098" s="416"/>
    </row>
    <row r="1099" spans="1:226" s="418" customFormat="1" ht="15" customHeight="1">
      <c r="A1099" s="1809"/>
      <c r="B1099" s="1827"/>
      <c r="C1099" s="1805">
        <v>852</v>
      </c>
      <c r="D1099" s="1807" t="s">
        <v>524</v>
      </c>
      <c r="E1099" s="1212" t="s">
        <v>329</v>
      </c>
      <c r="F1099" s="427">
        <f t="shared" si="99"/>
        <v>731967</v>
      </c>
      <c r="G1099" s="427"/>
      <c r="H1099" s="427"/>
      <c r="I1099" s="427">
        <v>731967</v>
      </c>
      <c r="J1099" s="1382"/>
      <c r="K1099" s="416"/>
    </row>
    <row r="1100" spans="1:226" s="418" customFormat="1" ht="15" customHeight="1" thickBot="1">
      <c r="A1100" s="1810"/>
      <c r="B1100" s="1828"/>
      <c r="C1100" s="1816"/>
      <c r="D1100" s="1819"/>
      <c r="E1100" s="1386" t="s">
        <v>326</v>
      </c>
      <c r="F1100" s="1387">
        <f t="shared" si="99"/>
        <v>149433</v>
      </c>
      <c r="G1100" s="1387"/>
      <c r="H1100" s="1387"/>
      <c r="I1100" s="1387">
        <v>149433</v>
      </c>
      <c r="J1100" s="1388"/>
      <c r="K1100" s="416"/>
    </row>
    <row r="1101" spans="1:226" s="418" customFormat="1" ht="22.5">
      <c r="A1101" s="1808" t="s">
        <v>331</v>
      </c>
      <c r="B1101" s="1826" t="s">
        <v>525</v>
      </c>
      <c r="C1101" s="1814">
        <v>853</v>
      </c>
      <c r="D1101" s="1817" t="s">
        <v>243</v>
      </c>
      <c r="E1101" s="1361" t="s">
        <v>322</v>
      </c>
      <c r="F1101" s="1362">
        <f>SUM(F1102,F1144)</f>
        <v>4876371</v>
      </c>
      <c r="G1101" s="1362">
        <f>SUM(G1102,G1144)</f>
        <v>766567</v>
      </c>
      <c r="H1101" s="1362">
        <f>SUM(H1102,H1144)</f>
        <v>0</v>
      </c>
      <c r="I1101" s="1362">
        <f>SUM(I1102,I1144)</f>
        <v>4109804</v>
      </c>
      <c r="J1101" s="1363">
        <f>SUM(J1102,J1144)</f>
        <v>0</v>
      </c>
      <c r="K1101" s="416"/>
    </row>
    <row r="1102" spans="1:226" s="418" customFormat="1" ht="21">
      <c r="A1102" s="1809"/>
      <c r="B1102" s="1827"/>
      <c r="C1102" s="1815"/>
      <c r="D1102" s="1818"/>
      <c r="E1102" s="1346" t="s">
        <v>334</v>
      </c>
      <c r="F1102" s="1347">
        <f>SUM(F1103,F1106,F1117)</f>
        <v>4876371</v>
      </c>
      <c r="G1102" s="1347">
        <f>SUM(G1103,G1106,G1117)</f>
        <v>766567</v>
      </c>
      <c r="H1102" s="1347">
        <f>SUM(H1103,H1106,H1117)</f>
        <v>0</v>
      </c>
      <c r="I1102" s="1347">
        <f>SUM(I1103,I1106,I1117)</f>
        <v>4109804</v>
      </c>
      <c r="J1102" s="1348">
        <f>SUM(J1103,J1106,J1117)</f>
        <v>0</v>
      </c>
      <c r="K1102" s="416"/>
      <c r="L1102" s="416"/>
      <c r="M1102" s="416"/>
      <c r="N1102" s="416"/>
      <c r="O1102" s="416"/>
      <c r="P1102" s="416"/>
      <c r="Q1102" s="416"/>
      <c r="R1102" s="416"/>
      <c r="S1102" s="416"/>
      <c r="T1102" s="416"/>
      <c r="U1102" s="416"/>
      <c r="V1102" s="416"/>
      <c r="W1102" s="416"/>
      <c r="X1102" s="416"/>
      <c r="Y1102" s="416"/>
      <c r="Z1102" s="416"/>
      <c r="AA1102" s="416"/>
      <c r="AB1102" s="416"/>
      <c r="AC1102" s="416"/>
      <c r="AD1102" s="416"/>
      <c r="AE1102" s="416"/>
      <c r="AF1102" s="416"/>
      <c r="AG1102" s="416"/>
      <c r="AH1102" s="416"/>
      <c r="AI1102" s="416"/>
      <c r="AJ1102" s="416"/>
      <c r="AK1102" s="416"/>
      <c r="AL1102" s="416"/>
      <c r="AM1102" s="416"/>
      <c r="AN1102" s="416"/>
      <c r="AO1102" s="416"/>
      <c r="AP1102" s="416"/>
      <c r="AQ1102" s="416"/>
      <c r="AR1102" s="416"/>
      <c r="AS1102" s="416"/>
      <c r="AT1102" s="416"/>
      <c r="AU1102" s="416"/>
      <c r="AV1102" s="416"/>
      <c r="AW1102" s="416"/>
      <c r="AX1102" s="416"/>
      <c r="AY1102" s="416"/>
      <c r="AZ1102" s="416"/>
      <c r="BA1102" s="416"/>
      <c r="BB1102" s="416"/>
      <c r="BC1102" s="416"/>
      <c r="BD1102" s="416"/>
      <c r="BE1102" s="416"/>
      <c r="BF1102" s="416"/>
      <c r="BG1102" s="416"/>
      <c r="BH1102" s="416"/>
      <c r="BI1102" s="416"/>
      <c r="BJ1102" s="416"/>
      <c r="BK1102" s="416"/>
      <c r="BL1102" s="416"/>
      <c r="BM1102" s="416"/>
      <c r="BN1102" s="416"/>
      <c r="BO1102" s="416"/>
      <c r="BP1102" s="416"/>
      <c r="BQ1102" s="416"/>
      <c r="BR1102" s="416"/>
      <c r="BS1102" s="416"/>
      <c r="BT1102" s="416"/>
      <c r="BU1102" s="416"/>
      <c r="BV1102" s="416"/>
      <c r="BW1102" s="416"/>
      <c r="BX1102" s="416"/>
      <c r="BY1102" s="416"/>
      <c r="BZ1102" s="416"/>
      <c r="CA1102" s="416"/>
      <c r="CB1102" s="416"/>
      <c r="CC1102" s="416"/>
      <c r="CD1102" s="416"/>
      <c r="CE1102" s="416"/>
      <c r="CF1102" s="416"/>
      <c r="CG1102" s="416"/>
      <c r="CH1102" s="416"/>
      <c r="CI1102" s="416"/>
      <c r="CJ1102" s="416"/>
      <c r="CK1102" s="416"/>
      <c r="CL1102" s="416"/>
      <c r="CM1102" s="416"/>
      <c r="CN1102" s="416"/>
      <c r="CO1102" s="416"/>
      <c r="CP1102" s="416"/>
      <c r="CQ1102" s="416"/>
      <c r="CR1102" s="416"/>
      <c r="CS1102" s="416"/>
      <c r="CT1102" s="416"/>
      <c r="CU1102" s="416"/>
      <c r="CV1102" s="416"/>
      <c r="CW1102" s="416"/>
      <c r="CX1102" s="416"/>
      <c r="CY1102" s="416"/>
      <c r="CZ1102" s="416"/>
      <c r="DA1102" s="416"/>
      <c r="DB1102" s="416"/>
      <c r="DC1102" s="416"/>
      <c r="DD1102" s="416"/>
      <c r="DE1102" s="416"/>
      <c r="DF1102" s="416"/>
      <c r="DG1102" s="416"/>
      <c r="DH1102" s="416"/>
      <c r="DI1102" s="416"/>
      <c r="DJ1102" s="416"/>
      <c r="DK1102" s="416"/>
      <c r="DL1102" s="416"/>
      <c r="DM1102" s="416"/>
      <c r="DN1102" s="416"/>
      <c r="DO1102" s="416"/>
      <c r="DP1102" s="416"/>
      <c r="DQ1102" s="416"/>
      <c r="DR1102" s="416"/>
      <c r="DS1102" s="416"/>
      <c r="DT1102" s="416"/>
      <c r="DU1102" s="416"/>
      <c r="DV1102" s="416"/>
      <c r="DW1102" s="416"/>
      <c r="DX1102" s="416"/>
      <c r="DY1102" s="416"/>
      <c r="DZ1102" s="416"/>
      <c r="EA1102" s="416"/>
      <c r="EB1102" s="416"/>
      <c r="EC1102" s="416"/>
      <c r="ED1102" s="416"/>
      <c r="EE1102" s="416"/>
      <c r="EF1102" s="416"/>
      <c r="EG1102" s="416"/>
      <c r="EH1102" s="416"/>
      <c r="EI1102" s="416"/>
      <c r="EJ1102" s="416"/>
      <c r="EK1102" s="416"/>
      <c r="EL1102" s="416"/>
      <c r="EM1102" s="416"/>
      <c r="EN1102" s="416"/>
      <c r="EO1102" s="416"/>
      <c r="EP1102" s="416"/>
      <c r="EQ1102" s="416"/>
      <c r="ER1102" s="416"/>
      <c r="ES1102" s="416"/>
      <c r="ET1102" s="416"/>
      <c r="EU1102" s="416"/>
      <c r="EV1102" s="416"/>
      <c r="EW1102" s="416"/>
      <c r="EX1102" s="416"/>
      <c r="EY1102" s="416"/>
      <c r="EZ1102" s="416"/>
      <c r="FA1102" s="416"/>
      <c r="FB1102" s="416"/>
      <c r="FC1102" s="416"/>
      <c r="FD1102" s="416"/>
      <c r="FE1102" s="416"/>
      <c r="FF1102" s="416"/>
      <c r="FG1102" s="416"/>
      <c r="FH1102" s="416"/>
      <c r="FI1102" s="416"/>
      <c r="FJ1102" s="416"/>
      <c r="FK1102" s="416"/>
      <c r="FL1102" s="416"/>
      <c r="FM1102" s="416"/>
      <c r="FN1102" s="416"/>
      <c r="FO1102" s="416"/>
      <c r="FP1102" s="416"/>
      <c r="FQ1102" s="416"/>
      <c r="FR1102" s="416"/>
      <c r="FS1102" s="416"/>
      <c r="FT1102" s="416"/>
      <c r="FU1102" s="416"/>
      <c r="FV1102" s="416"/>
      <c r="FW1102" s="416"/>
      <c r="FX1102" s="416"/>
      <c r="FY1102" s="416"/>
      <c r="FZ1102" s="416"/>
      <c r="GA1102" s="416"/>
      <c r="GB1102" s="416"/>
      <c r="GC1102" s="416"/>
      <c r="GD1102" s="416"/>
      <c r="GE1102" s="416"/>
      <c r="GF1102" s="416"/>
      <c r="GG1102" s="416"/>
      <c r="GH1102" s="416"/>
      <c r="GI1102" s="416"/>
      <c r="GJ1102" s="416"/>
      <c r="GK1102" s="416"/>
      <c r="GL1102" s="416"/>
      <c r="GM1102" s="416"/>
      <c r="GN1102" s="416"/>
      <c r="GO1102" s="416"/>
      <c r="GP1102" s="416"/>
      <c r="GQ1102" s="416"/>
      <c r="GR1102" s="416"/>
      <c r="GS1102" s="416"/>
      <c r="GT1102" s="416"/>
      <c r="GU1102" s="416"/>
      <c r="GV1102" s="416"/>
      <c r="GW1102" s="416"/>
      <c r="GX1102" s="416"/>
      <c r="GY1102" s="416"/>
      <c r="GZ1102" s="416"/>
      <c r="HA1102" s="416"/>
      <c r="HB1102" s="416"/>
      <c r="HC1102" s="416"/>
      <c r="HD1102" s="416"/>
      <c r="HE1102" s="416"/>
      <c r="HF1102" s="416"/>
      <c r="HG1102" s="416"/>
      <c r="HH1102" s="416"/>
      <c r="HI1102" s="416"/>
      <c r="HJ1102" s="416"/>
      <c r="HK1102" s="416"/>
      <c r="HL1102" s="416"/>
      <c r="HM1102" s="416"/>
      <c r="HN1102" s="416"/>
      <c r="HO1102" s="416"/>
      <c r="HP1102" s="416"/>
      <c r="HQ1102" s="416"/>
      <c r="HR1102" s="416"/>
    </row>
    <row r="1103" spans="1:226" s="418" customFormat="1" ht="24.95" hidden="1" customHeight="1">
      <c r="A1103" s="1809"/>
      <c r="B1103" s="1827"/>
      <c r="C1103" s="1815"/>
      <c r="D1103" s="1818"/>
      <c r="E1103" s="1349" t="s">
        <v>389</v>
      </c>
      <c r="F1103" s="1350">
        <f>SUM(F1104:F1105)</f>
        <v>0</v>
      </c>
      <c r="G1103" s="1350">
        <f>SUM(G1104:G1105)</f>
        <v>0</v>
      </c>
      <c r="H1103" s="1350">
        <f>SUM(H1104:H1105)</f>
        <v>0</v>
      </c>
      <c r="I1103" s="1350">
        <f>SUM(I1104:I1105)</f>
        <v>0</v>
      </c>
      <c r="J1103" s="1351">
        <f>SUM(J1104:J1105)</f>
        <v>0</v>
      </c>
      <c r="K1103" s="416"/>
    </row>
    <row r="1104" spans="1:226" s="418" customFormat="1" ht="15" hidden="1" customHeight="1">
      <c r="A1104" s="1809"/>
      <c r="B1104" s="1827"/>
      <c r="C1104" s="1815"/>
      <c r="D1104" s="1818"/>
      <c r="E1104" s="1352"/>
      <c r="F1104" s="1353">
        <f>SUM(G1104:J1104)</f>
        <v>0</v>
      </c>
      <c r="G1104" s="1353"/>
      <c r="H1104" s="1353"/>
      <c r="I1104" s="1353"/>
      <c r="J1104" s="1354"/>
      <c r="K1104" s="416"/>
    </row>
    <row r="1105" spans="1:11" s="418" customFormat="1" ht="15" hidden="1" customHeight="1">
      <c r="A1105" s="1809"/>
      <c r="B1105" s="1827"/>
      <c r="C1105" s="1815"/>
      <c r="D1105" s="1818"/>
      <c r="E1105" s="1352"/>
      <c r="F1105" s="1353">
        <f>SUM(G1105:J1105)</f>
        <v>0</v>
      </c>
      <c r="G1105" s="1353"/>
      <c r="H1105" s="1353"/>
      <c r="I1105" s="1353"/>
      <c r="J1105" s="1354"/>
      <c r="K1105" s="416"/>
    </row>
    <row r="1106" spans="1:11" s="418" customFormat="1" ht="22.5">
      <c r="A1106" s="1809"/>
      <c r="B1106" s="1827"/>
      <c r="C1106" s="1815"/>
      <c r="D1106" s="1818"/>
      <c r="E1106" s="1349" t="s">
        <v>335</v>
      </c>
      <c r="F1106" s="1350">
        <f>SUM(F1107:F1116)</f>
        <v>4085748</v>
      </c>
      <c r="G1106" s="1350">
        <f>SUM(G1107:G1116)</f>
        <v>642280</v>
      </c>
      <c r="H1106" s="1350">
        <f>SUM(H1107:H1116)</f>
        <v>0</v>
      </c>
      <c r="I1106" s="1350">
        <f>SUM(I1107:I1116)</f>
        <v>3443468</v>
      </c>
      <c r="J1106" s="1351">
        <f>SUM(J1107:J1116)</f>
        <v>0</v>
      </c>
      <c r="K1106" s="416"/>
    </row>
    <row r="1107" spans="1:11" s="418" customFormat="1" ht="12.95" customHeight="1">
      <c r="A1107" s="1809"/>
      <c r="B1107" s="1827"/>
      <c r="C1107" s="1815"/>
      <c r="D1107" s="1818"/>
      <c r="E1107" s="1352" t="s">
        <v>362</v>
      </c>
      <c r="F1107" s="1353">
        <f t="shared" ref="F1107:F1116" si="100">SUM(G1107:J1107)</f>
        <v>2694517</v>
      </c>
      <c r="G1107" s="1353"/>
      <c r="H1107" s="1353"/>
      <c r="I1107" s="1353">
        <v>2694517</v>
      </c>
      <c r="J1107" s="1354"/>
      <c r="K1107" s="416"/>
    </row>
    <row r="1108" spans="1:11" s="418" customFormat="1" ht="12.95" customHeight="1">
      <c r="A1108" s="1809"/>
      <c r="B1108" s="1827"/>
      <c r="C1108" s="1815"/>
      <c r="D1108" s="1818"/>
      <c r="E1108" s="1352" t="s">
        <v>363</v>
      </c>
      <c r="F1108" s="1353">
        <f t="shared" si="100"/>
        <v>502585</v>
      </c>
      <c r="G1108" s="1353">
        <v>502585</v>
      </c>
      <c r="H1108" s="1353"/>
      <c r="I1108" s="1353"/>
      <c r="J1108" s="1354"/>
      <c r="K1108" s="416"/>
    </row>
    <row r="1109" spans="1:11" s="418" customFormat="1" ht="12.95" customHeight="1">
      <c r="A1109" s="1809"/>
      <c r="B1109" s="1827"/>
      <c r="C1109" s="1815"/>
      <c r="D1109" s="1818"/>
      <c r="E1109" s="1352" t="s">
        <v>364</v>
      </c>
      <c r="F1109" s="1353">
        <f t="shared" si="100"/>
        <v>171594</v>
      </c>
      <c r="G1109" s="1353"/>
      <c r="H1109" s="1353"/>
      <c r="I1109" s="1353">
        <v>171594</v>
      </c>
      <c r="J1109" s="1354"/>
      <c r="K1109" s="416"/>
    </row>
    <row r="1110" spans="1:11" s="418" customFormat="1" ht="12.95" customHeight="1">
      <c r="A1110" s="1809"/>
      <c r="B1110" s="1827"/>
      <c r="C1110" s="1815"/>
      <c r="D1110" s="1818"/>
      <c r="E1110" s="1352" t="s">
        <v>365</v>
      </c>
      <c r="F1110" s="1353">
        <f t="shared" si="100"/>
        <v>32006</v>
      </c>
      <c r="G1110" s="1353">
        <v>32006</v>
      </c>
      <c r="H1110" s="1353"/>
      <c r="I1110" s="1353"/>
      <c r="J1110" s="1354"/>
      <c r="K1110" s="416"/>
    </row>
    <row r="1111" spans="1:11" s="418" customFormat="1" ht="12.95" customHeight="1">
      <c r="A1111" s="1809"/>
      <c r="B1111" s="1827"/>
      <c r="C1111" s="1815"/>
      <c r="D1111" s="1818"/>
      <c r="E1111" s="1352" t="s">
        <v>336</v>
      </c>
      <c r="F1111" s="1353">
        <f t="shared" si="100"/>
        <v>490276</v>
      </c>
      <c r="G1111" s="1353"/>
      <c r="H1111" s="1353"/>
      <c r="I1111" s="1353">
        <v>490276</v>
      </c>
      <c r="J1111" s="1354"/>
      <c r="K1111" s="416"/>
    </row>
    <row r="1112" spans="1:11" s="418" customFormat="1" ht="12.95" customHeight="1">
      <c r="A1112" s="1809"/>
      <c r="B1112" s="1827"/>
      <c r="C1112" s="1815"/>
      <c r="D1112" s="1818"/>
      <c r="E1112" s="1352" t="s">
        <v>337</v>
      </c>
      <c r="F1112" s="1353">
        <f t="shared" si="100"/>
        <v>91447</v>
      </c>
      <c r="G1112" s="1353">
        <v>91447</v>
      </c>
      <c r="H1112" s="1353"/>
      <c r="I1112" s="1353"/>
      <c r="J1112" s="1354"/>
      <c r="K1112" s="416"/>
    </row>
    <row r="1113" spans="1:11" s="418" customFormat="1" ht="12.95" customHeight="1">
      <c r="A1113" s="1809"/>
      <c r="B1113" s="1827"/>
      <c r="C1113" s="1815"/>
      <c r="D1113" s="1818"/>
      <c r="E1113" s="1352" t="s">
        <v>366</v>
      </c>
      <c r="F1113" s="1353">
        <f t="shared" si="100"/>
        <v>70225</v>
      </c>
      <c r="G1113" s="1353"/>
      <c r="H1113" s="1353"/>
      <c r="I1113" s="1353">
        <v>70225</v>
      </c>
      <c r="J1113" s="1354"/>
      <c r="K1113" s="416"/>
    </row>
    <row r="1114" spans="1:11" s="418" customFormat="1" ht="12.95" customHeight="1">
      <c r="A1114" s="1809"/>
      <c r="B1114" s="1827"/>
      <c r="C1114" s="1815"/>
      <c r="D1114" s="1818"/>
      <c r="E1114" s="1352" t="s">
        <v>367</v>
      </c>
      <c r="F1114" s="1353">
        <f t="shared" si="100"/>
        <v>13098</v>
      </c>
      <c r="G1114" s="1353">
        <v>13098</v>
      </c>
      <c r="H1114" s="1353"/>
      <c r="I1114" s="1353"/>
      <c r="J1114" s="1354"/>
      <c r="K1114" s="416"/>
    </row>
    <row r="1115" spans="1:11" s="418" customFormat="1" ht="12.95" customHeight="1">
      <c r="A1115" s="1809"/>
      <c r="B1115" s="1827"/>
      <c r="C1115" s="1815"/>
      <c r="D1115" s="1818"/>
      <c r="E1115" s="1352" t="s">
        <v>338</v>
      </c>
      <c r="F1115" s="1353">
        <f t="shared" si="100"/>
        <v>16856</v>
      </c>
      <c r="G1115" s="1353"/>
      <c r="H1115" s="1353"/>
      <c r="I1115" s="1353">
        <v>16856</v>
      </c>
      <c r="J1115" s="1354"/>
      <c r="K1115" s="416"/>
    </row>
    <row r="1116" spans="1:11" s="418" customFormat="1" ht="12.95" customHeight="1">
      <c r="A1116" s="1809"/>
      <c r="B1116" s="1827"/>
      <c r="C1116" s="1815"/>
      <c r="D1116" s="1818"/>
      <c r="E1116" s="1352" t="s">
        <v>339</v>
      </c>
      <c r="F1116" s="1353">
        <f t="shared" si="100"/>
        <v>3144</v>
      </c>
      <c r="G1116" s="1353">
        <v>3144</v>
      </c>
      <c r="H1116" s="1353"/>
      <c r="I1116" s="1353"/>
      <c r="J1116" s="1354"/>
      <c r="K1116" s="416"/>
    </row>
    <row r="1117" spans="1:11" s="418" customFormat="1" ht="22.5">
      <c r="A1117" s="1809"/>
      <c r="B1117" s="1827"/>
      <c r="C1117" s="1815"/>
      <c r="D1117" s="1818"/>
      <c r="E1117" s="1349" t="s">
        <v>340</v>
      </c>
      <c r="F1117" s="1350">
        <f>SUM(F1118:F1143)</f>
        <v>790623</v>
      </c>
      <c r="G1117" s="1350">
        <f>SUM(G1118:G1143)</f>
        <v>124287</v>
      </c>
      <c r="H1117" s="1350">
        <f>SUM(H1118:H1143)</f>
        <v>0</v>
      </c>
      <c r="I1117" s="1350">
        <f>SUM(I1118:I1143)</f>
        <v>666336</v>
      </c>
      <c r="J1117" s="1351">
        <f>SUM(J1118:J1143)</f>
        <v>0</v>
      </c>
      <c r="K1117" s="416"/>
    </row>
    <row r="1118" spans="1:11" s="418" customFormat="1" ht="12.95" customHeight="1">
      <c r="A1118" s="1809"/>
      <c r="B1118" s="1827"/>
      <c r="C1118" s="1815"/>
      <c r="D1118" s="1818"/>
      <c r="E1118" s="1352" t="s">
        <v>370</v>
      </c>
      <c r="F1118" s="1353">
        <f t="shared" ref="F1118:F1143" si="101">SUM(G1118:J1118)</f>
        <v>4214</v>
      </c>
      <c r="G1118" s="1353"/>
      <c r="H1118" s="1353"/>
      <c r="I1118" s="1353">
        <v>4214</v>
      </c>
      <c r="J1118" s="1354"/>
      <c r="K1118" s="416"/>
    </row>
    <row r="1119" spans="1:11" s="418" customFormat="1" ht="12.95" customHeight="1">
      <c r="A1119" s="1809"/>
      <c r="B1119" s="1827"/>
      <c r="C1119" s="1815"/>
      <c r="D1119" s="1818"/>
      <c r="E1119" s="1352" t="s">
        <v>371</v>
      </c>
      <c r="F1119" s="1353">
        <f t="shared" si="101"/>
        <v>786</v>
      </c>
      <c r="G1119" s="1353">
        <v>786</v>
      </c>
      <c r="H1119" s="1353"/>
      <c r="I1119" s="1353"/>
      <c r="J1119" s="1354"/>
      <c r="K1119" s="416"/>
    </row>
    <row r="1120" spans="1:11" s="418" customFormat="1" ht="12.95" customHeight="1">
      <c r="A1120" s="1809"/>
      <c r="B1120" s="1827"/>
      <c r="C1120" s="1815"/>
      <c r="D1120" s="1818"/>
      <c r="E1120" s="1352" t="s">
        <v>341</v>
      </c>
      <c r="F1120" s="1353">
        <f t="shared" si="101"/>
        <v>145214</v>
      </c>
      <c r="G1120" s="1353"/>
      <c r="H1120" s="1353"/>
      <c r="I1120" s="1353">
        <v>145214</v>
      </c>
      <c r="J1120" s="1354"/>
      <c r="K1120" s="416"/>
    </row>
    <row r="1121" spans="1:226" s="418" customFormat="1" ht="12.95" customHeight="1">
      <c r="A1121" s="1809"/>
      <c r="B1121" s="1827"/>
      <c r="C1121" s="1815"/>
      <c r="D1121" s="1818"/>
      <c r="E1121" s="1352" t="s">
        <v>342</v>
      </c>
      <c r="F1121" s="1353">
        <f t="shared" si="101"/>
        <v>27086</v>
      </c>
      <c r="G1121" s="1353">
        <v>27086</v>
      </c>
      <c r="H1121" s="1353"/>
      <c r="I1121" s="1353"/>
      <c r="J1121" s="1354"/>
      <c r="K1121" s="416"/>
    </row>
    <row r="1122" spans="1:226" s="418" customFormat="1" ht="12.95" customHeight="1">
      <c r="A1122" s="1809"/>
      <c r="B1122" s="1827"/>
      <c r="C1122" s="1815"/>
      <c r="D1122" s="1818"/>
      <c r="E1122" s="1352" t="s">
        <v>372</v>
      </c>
      <c r="F1122" s="1353">
        <f t="shared" si="101"/>
        <v>115959</v>
      </c>
      <c r="G1122" s="1353"/>
      <c r="H1122" s="1353"/>
      <c r="I1122" s="1353">
        <v>115959</v>
      </c>
      <c r="J1122" s="1354"/>
      <c r="K1122" s="416"/>
    </row>
    <row r="1123" spans="1:226" s="418" customFormat="1" ht="12.95" customHeight="1">
      <c r="A1123" s="1809"/>
      <c r="B1123" s="1827"/>
      <c r="C1123" s="1815"/>
      <c r="D1123" s="1818"/>
      <c r="E1123" s="1352" t="s">
        <v>373</v>
      </c>
      <c r="F1123" s="1353">
        <f t="shared" si="101"/>
        <v>21629</v>
      </c>
      <c r="G1123" s="1353">
        <v>21629</v>
      </c>
      <c r="H1123" s="1353"/>
      <c r="I1123" s="1353"/>
      <c r="J1123" s="1354"/>
      <c r="K1123" s="416"/>
    </row>
    <row r="1124" spans="1:226" s="418" customFormat="1" ht="12.95" customHeight="1">
      <c r="A1124" s="1809"/>
      <c r="B1124" s="1827"/>
      <c r="C1124" s="1815"/>
      <c r="D1124" s="1818"/>
      <c r="E1124" s="1352" t="s">
        <v>440</v>
      </c>
      <c r="F1124" s="1353">
        <f t="shared" si="101"/>
        <v>6995</v>
      </c>
      <c r="G1124" s="1353"/>
      <c r="H1124" s="1353"/>
      <c r="I1124" s="1353">
        <v>6995</v>
      </c>
      <c r="J1124" s="1354"/>
      <c r="K1124" s="416"/>
    </row>
    <row r="1125" spans="1:226" s="418" customFormat="1" ht="12.95" customHeight="1">
      <c r="A1125" s="1809"/>
      <c r="B1125" s="1827"/>
      <c r="C1125" s="1815"/>
      <c r="D1125" s="1818"/>
      <c r="E1125" s="1352" t="s">
        <v>441</v>
      </c>
      <c r="F1125" s="1353">
        <f t="shared" si="101"/>
        <v>1305</v>
      </c>
      <c r="G1125" s="1353">
        <v>1305</v>
      </c>
      <c r="H1125" s="1353"/>
      <c r="I1125" s="1353"/>
      <c r="J1125" s="1354"/>
      <c r="K1125" s="416"/>
    </row>
    <row r="1126" spans="1:226" s="418" customFormat="1" ht="12.95" customHeight="1">
      <c r="A1126" s="1809"/>
      <c r="B1126" s="1827"/>
      <c r="C1126" s="1815"/>
      <c r="D1126" s="1818"/>
      <c r="E1126" s="1352" t="s">
        <v>374</v>
      </c>
      <c r="F1126" s="1353">
        <f t="shared" si="101"/>
        <v>2220</v>
      </c>
      <c r="G1126" s="1353"/>
      <c r="H1126" s="1353"/>
      <c r="I1126" s="1353">
        <v>2220</v>
      </c>
      <c r="J1126" s="1354"/>
      <c r="K1126" s="416"/>
    </row>
    <row r="1127" spans="1:226" s="418" customFormat="1" ht="12.95" customHeight="1">
      <c r="A1127" s="1809"/>
      <c r="B1127" s="1827"/>
      <c r="C1127" s="1815"/>
      <c r="D1127" s="1818"/>
      <c r="E1127" s="1352" t="s">
        <v>375</v>
      </c>
      <c r="F1127" s="1353">
        <f t="shared" si="101"/>
        <v>414</v>
      </c>
      <c r="G1127" s="1353">
        <v>414</v>
      </c>
      <c r="H1127" s="1353"/>
      <c r="I1127" s="1353"/>
      <c r="J1127" s="1354"/>
      <c r="K1127" s="416"/>
    </row>
    <row r="1128" spans="1:226" s="418" customFormat="1" ht="12.95" customHeight="1">
      <c r="A1128" s="1809"/>
      <c r="B1128" s="1827"/>
      <c r="C1128" s="1815"/>
      <c r="D1128" s="1818"/>
      <c r="E1128" s="1352" t="s">
        <v>343</v>
      </c>
      <c r="F1128" s="1353">
        <f t="shared" si="101"/>
        <v>134561</v>
      </c>
      <c r="G1128" s="1353"/>
      <c r="H1128" s="1353"/>
      <c r="I1128" s="1353">
        <v>134561</v>
      </c>
      <c r="J1128" s="1354"/>
      <c r="K1128" s="416"/>
    </row>
    <row r="1129" spans="1:226" s="418" customFormat="1" ht="12.95" customHeight="1">
      <c r="A1129" s="1809"/>
      <c r="B1129" s="1827"/>
      <c r="C1129" s="1815"/>
      <c r="D1129" s="1818"/>
      <c r="E1129" s="1352" t="s">
        <v>344</v>
      </c>
      <c r="F1129" s="1353">
        <f t="shared" si="101"/>
        <v>25099</v>
      </c>
      <c r="G1129" s="1353">
        <v>25099</v>
      </c>
      <c r="H1129" s="1353"/>
      <c r="I1129" s="1353"/>
      <c r="J1129" s="1354"/>
      <c r="K1129" s="416"/>
    </row>
    <row r="1130" spans="1:226" s="418" customFormat="1" ht="12.95" customHeight="1">
      <c r="A1130" s="1809"/>
      <c r="B1130" s="1827"/>
      <c r="C1130" s="1815"/>
      <c r="D1130" s="1818"/>
      <c r="E1130" s="1352" t="s">
        <v>471</v>
      </c>
      <c r="F1130" s="1353">
        <f t="shared" si="101"/>
        <v>9271</v>
      </c>
      <c r="G1130" s="1353"/>
      <c r="H1130" s="1353"/>
      <c r="I1130" s="1353">
        <v>9271</v>
      </c>
      <c r="J1130" s="1354"/>
      <c r="K1130" s="416"/>
    </row>
    <row r="1131" spans="1:226" s="418" customFormat="1" ht="12.95" customHeight="1">
      <c r="A1131" s="1809"/>
      <c r="B1131" s="1827"/>
      <c r="C1131" s="1815"/>
      <c r="D1131" s="1818"/>
      <c r="E1131" s="1352" t="s">
        <v>426</v>
      </c>
      <c r="F1131" s="1353">
        <f t="shared" si="101"/>
        <v>1729</v>
      </c>
      <c r="G1131" s="1353">
        <v>1729</v>
      </c>
      <c r="H1131" s="1353"/>
      <c r="I1131" s="1353"/>
      <c r="J1131" s="1354"/>
      <c r="K1131" s="416"/>
    </row>
    <row r="1132" spans="1:226" s="379" customFormat="1" ht="12.95" customHeight="1">
      <c r="A1132" s="1809"/>
      <c r="B1132" s="1827"/>
      <c r="C1132" s="1815"/>
      <c r="D1132" s="1818"/>
      <c r="E1132" s="1352" t="s">
        <v>358</v>
      </c>
      <c r="F1132" s="1353">
        <f t="shared" si="101"/>
        <v>337</v>
      </c>
      <c r="G1132" s="1353"/>
      <c r="H1132" s="1353"/>
      <c r="I1132" s="1353">
        <v>337</v>
      </c>
      <c r="J1132" s="1354"/>
    </row>
    <row r="1133" spans="1:226" s="379" customFormat="1" ht="12.95" customHeight="1">
      <c r="A1133" s="1809"/>
      <c r="B1133" s="1827"/>
      <c r="C1133" s="1815"/>
      <c r="D1133" s="1818"/>
      <c r="E1133" s="1352" t="s">
        <v>359</v>
      </c>
      <c r="F1133" s="1353">
        <f t="shared" si="101"/>
        <v>63</v>
      </c>
      <c r="G1133" s="1353">
        <v>63</v>
      </c>
      <c r="H1133" s="1353"/>
      <c r="I1133" s="1353"/>
      <c r="J1133" s="1354"/>
    </row>
    <row r="1134" spans="1:226" s="418" customFormat="1" ht="12.95" customHeight="1">
      <c r="A1134" s="1809"/>
      <c r="B1134" s="1827"/>
      <c r="C1134" s="1815"/>
      <c r="D1134" s="1818"/>
      <c r="E1134" s="1352" t="s">
        <v>472</v>
      </c>
      <c r="F1134" s="1353">
        <f t="shared" si="101"/>
        <v>147490</v>
      </c>
      <c r="G1134" s="1353"/>
      <c r="H1134" s="1353"/>
      <c r="I1134" s="1353">
        <v>147490</v>
      </c>
      <c r="J1134" s="1354"/>
      <c r="K1134" s="416"/>
      <c r="L1134" s="416"/>
      <c r="M1134" s="416"/>
      <c r="N1134" s="416"/>
      <c r="O1134" s="416"/>
      <c r="P1134" s="416"/>
      <c r="Q1134" s="416"/>
      <c r="R1134" s="416"/>
      <c r="S1134" s="416"/>
      <c r="T1134" s="416"/>
      <c r="U1134" s="416"/>
      <c r="V1134" s="416"/>
      <c r="W1134" s="416"/>
      <c r="X1134" s="416"/>
      <c r="Y1134" s="416"/>
      <c r="Z1134" s="416"/>
      <c r="AA1134" s="416"/>
      <c r="AB1134" s="416"/>
      <c r="AC1134" s="416"/>
      <c r="AD1134" s="416"/>
      <c r="AE1134" s="416"/>
      <c r="AF1134" s="416"/>
      <c r="AG1134" s="416"/>
      <c r="AH1134" s="416"/>
      <c r="AI1134" s="416"/>
      <c r="AJ1134" s="416"/>
      <c r="AK1134" s="416"/>
      <c r="AL1134" s="416"/>
      <c r="AM1134" s="416"/>
      <c r="AN1134" s="416"/>
      <c r="AO1134" s="416"/>
      <c r="AP1134" s="416"/>
      <c r="AQ1134" s="416"/>
      <c r="AR1134" s="416"/>
      <c r="AS1134" s="416"/>
      <c r="AT1134" s="416"/>
      <c r="AU1134" s="416"/>
      <c r="AV1134" s="416"/>
      <c r="AW1134" s="416"/>
      <c r="AX1134" s="416"/>
      <c r="AY1134" s="416"/>
      <c r="AZ1134" s="416"/>
      <c r="BA1134" s="416"/>
      <c r="BB1134" s="416"/>
      <c r="BC1134" s="416"/>
      <c r="BD1134" s="416"/>
      <c r="BE1134" s="416"/>
      <c r="BF1134" s="416"/>
      <c r="BG1134" s="416"/>
      <c r="BH1134" s="416"/>
      <c r="BI1134" s="416"/>
      <c r="BJ1134" s="416"/>
      <c r="BK1134" s="416"/>
      <c r="BL1134" s="416"/>
      <c r="BM1134" s="416"/>
      <c r="BN1134" s="416"/>
      <c r="BO1134" s="416"/>
      <c r="BP1134" s="416"/>
      <c r="BQ1134" s="416"/>
      <c r="BR1134" s="416"/>
      <c r="BS1134" s="416"/>
      <c r="BT1134" s="416"/>
      <c r="BU1134" s="416"/>
      <c r="BV1134" s="416"/>
      <c r="BW1134" s="416"/>
      <c r="BX1134" s="416"/>
      <c r="BY1134" s="416"/>
      <c r="BZ1134" s="416"/>
      <c r="CA1134" s="416"/>
      <c r="CB1134" s="416"/>
      <c r="CC1134" s="416"/>
      <c r="CD1134" s="416"/>
      <c r="CE1134" s="416"/>
      <c r="CF1134" s="416"/>
      <c r="CG1134" s="416"/>
      <c r="CH1134" s="416"/>
      <c r="CI1134" s="416"/>
      <c r="CJ1134" s="416"/>
      <c r="CK1134" s="416"/>
      <c r="CL1134" s="416"/>
      <c r="CM1134" s="416"/>
      <c r="CN1134" s="416"/>
      <c r="CO1134" s="416"/>
      <c r="CP1134" s="416"/>
      <c r="CQ1134" s="416"/>
      <c r="CR1134" s="416"/>
      <c r="CS1134" s="416"/>
      <c r="CT1134" s="416"/>
      <c r="CU1134" s="416"/>
      <c r="CV1134" s="416"/>
      <c r="CW1134" s="416"/>
      <c r="CX1134" s="416"/>
      <c r="CY1134" s="416"/>
      <c r="CZ1134" s="416"/>
      <c r="DA1134" s="416"/>
      <c r="DB1134" s="416"/>
      <c r="DC1134" s="416"/>
      <c r="DD1134" s="416"/>
      <c r="DE1134" s="416"/>
      <c r="DF1134" s="416"/>
      <c r="DG1134" s="416"/>
      <c r="DH1134" s="416"/>
      <c r="DI1134" s="416"/>
      <c r="DJ1134" s="416"/>
      <c r="DK1134" s="416"/>
      <c r="DL1134" s="416"/>
      <c r="DM1134" s="416"/>
      <c r="DN1134" s="416"/>
      <c r="DO1134" s="416"/>
      <c r="DP1134" s="416"/>
      <c r="DQ1134" s="416"/>
      <c r="DR1134" s="416"/>
      <c r="DS1134" s="416"/>
      <c r="DT1134" s="416"/>
      <c r="DU1134" s="416"/>
      <c r="DV1134" s="416"/>
      <c r="DW1134" s="416"/>
      <c r="DX1134" s="416"/>
      <c r="DY1134" s="416"/>
      <c r="DZ1134" s="416"/>
      <c r="EA1134" s="416"/>
      <c r="EB1134" s="416"/>
      <c r="EC1134" s="416"/>
      <c r="ED1134" s="416"/>
      <c r="EE1134" s="416"/>
      <c r="EF1134" s="416"/>
      <c r="EG1134" s="416"/>
      <c r="EH1134" s="416"/>
      <c r="EI1134" s="416"/>
      <c r="EJ1134" s="416"/>
      <c r="EK1134" s="416"/>
      <c r="EL1134" s="416"/>
      <c r="EM1134" s="416"/>
      <c r="EN1134" s="416"/>
      <c r="EO1134" s="416"/>
      <c r="EP1134" s="416"/>
      <c r="EQ1134" s="416"/>
      <c r="ER1134" s="416"/>
      <c r="ES1134" s="416"/>
      <c r="ET1134" s="416"/>
      <c r="EU1134" s="416"/>
      <c r="EV1134" s="416"/>
      <c r="EW1134" s="416"/>
      <c r="EX1134" s="416"/>
      <c r="EY1134" s="416"/>
      <c r="EZ1134" s="416"/>
      <c r="FA1134" s="416"/>
      <c r="FB1134" s="416"/>
      <c r="FC1134" s="416"/>
      <c r="FD1134" s="416"/>
      <c r="FE1134" s="416"/>
      <c r="FF1134" s="416"/>
      <c r="FG1134" s="416"/>
      <c r="FH1134" s="416"/>
      <c r="FI1134" s="416"/>
      <c r="FJ1134" s="416"/>
      <c r="FK1134" s="416"/>
      <c r="FL1134" s="416"/>
      <c r="FM1134" s="416"/>
      <c r="FN1134" s="416"/>
      <c r="FO1134" s="416"/>
      <c r="FP1134" s="416"/>
      <c r="FQ1134" s="416"/>
      <c r="FR1134" s="416"/>
      <c r="FS1134" s="416"/>
      <c r="FT1134" s="416"/>
      <c r="FU1134" s="416"/>
      <c r="FV1134" s="416"/>
      <c r="FW1134" s="416"/>
      <c r="FX1134" s="416"/>
      <c r="FY1134" s="416"/>
      <c r="FZ1134" s="416"/>
      <c r="GA1134" s="416"/>
      <c r="GB1134" s="416"/>
      <c r="GC1134" s="416"/>
      <c r="GD1134" s="416"/>
      <c r="GE1134" s="416"/>
      <c r="GF1134" s="416"/>
      <c r="GG1134" s="416"/>
      <c r="GH1134" s="416"/>
      <c r="GI1134" s="416"/>
      <c r="GJ1134" s="416"/>
      <c r="GK1134" s="416"/>
      <c r="GL1134" s="416"/>
      <c r="GM1134" s="416"/>
      <c r="GN1134" s="416"/>
      <c r="GO1134" s="416"/>
      <c r="GP1134" s="416"/>
      <c r="GQ1134" s="416"/>
      <c r="GR1134" s="416"/>
      <c r="GS1134" s="416"/>
      <c r="GT1134" s="416"/>
      <c r="GU1134" s="416"/>
      <c r="GV1134" s="416"/>
      <c r="GW1134" s="416"/>
      <c r="GX1134" s="416"/>
      <c r="GY1134" s="416"/>
      <c r="GZ1134" s="416"/>
      <c r="HA1134" s="416"/>
      <c r="HB1134" s="416"/>
      <c r="HC1134" s="416"/>
      <c r="HD1134" s="416"/>
      <c r="HE1134" s="416"/>
      <c r="HF1134" s="416"/>
      <c r="HG1134" s="416"/>
      <c r="HH1134" s="416"/>
      <c r="HI1134" s="416"/>
      <c r="HJ1134" s="416"/>
      <c r="HK1134" s="416"/>
      <c r="HL1134" s="416"/>
      <c r="HM1134" s="416"/>
      <c r="HN1134" s="416"/>
      <c r="HO1134" s="416"/>
      <c r="HP1134" s="416"/>
      <c r="HQ1134" s="416"/>
      <c r="HR1134" s="416"/>
    </row>
    <row r="1135" spans="1:226" s="418" customFormat="1" ht="12.95" customHeight="1">
      <c r="A1135" s="1809"/>
      <c r="B1135" s="1827"/>
      <c r="C1135" s="1815"/>
      <c r="D1135" s="1818"/>
      <c r="E1135" s="1352" t="s">
        <v>475</v>
      </c>
      <c r="F1135" s="1353">
        <f t="shared" si="101"/>
        <v>27510</v>
      </c>
      <c r="G1135" s="1353">
        <v>27510</v>
      </c>
      <c r="H1135" s="1353"/>
      <c r="I1135" s="1353"/>
      <c r="J1135" s="1354"/>
      <c r="K1135" s="416"/>
    </row>
    <row r="1136" spans="1:226" s="418" customFormat="1" ht="12.95" customHeight="1">
      <c r="A1136" s="1809"/>
      <c r="B1136" s="1827"/>
      <c r="C1136" s="1815"/>
      <c r="D1136" s="1818"/>
      <c r="E1136" s="1352" t="s">
        <v>345</v>
      </c>
      <c r="F1136" s="1353">
        <f t="shared" si="101"/>
        <v>45293</v>
      </c>
      <c r="G1136" s="1353"/>
      <c r="H1136" s="1353"/>
      <c r="I1136" s="1353">
        <v>45293</v>
      </c>
      <c r="J1136" s="1354"/>
      <c r="K1136" s="416"/>
    </row>
    <row r="1137" spans="1:226" s="418" customFormat="1" ht="12.95" customHeight="1">
      <c r="A1137" s="1809"/>
      <c r="B1137" s="1827"/>
      <c r="C1137" s="1815"/>
      <c r="D1137" s="1818"/>
      <c r="E1137" s="1352" t="s">
        <v>346</v>
      </c>
      <c r="F1137" s="1353">
        <f t="shared" si="101"/>
        <v>8448</v>
      </c>
      <c r="G1137" s="1353">
        <v>8448</v>
      </c>
      <c r="H1137" s="1353"/>
      <c r="I1137" s="1353"/>
      <c r="J1137" s="1354"/>
      <c r="K1137" s="416"/>
    </row>
    <row r="1138" spans="1:226" s="418" customFormat="1" ht="12.95" customHeight="1">
      <c r="A1138" s="1809"/>
      <c r="B1138" s="1827"/>
      <c r="C1138" s="1815"/>
      <c r="D1138" s="1818"/>
      <c r="E1138" s="1352" t="s">
        <v>378</v>
      </c>
      <c r="F1138" s="1353">
        <f t="shared" si="101"/>
        <v>506</v>
      </c>
      <c r="G1138" s="1353"/>
      <c r="H1138" s="1353"/>
      <c r="I1138" s="1353">
        <v>506</v>
      </c>
      <c r="J1138" s="1354"/>
      <c r="K1138" s="416"/>
    </row>
    <row r="1139" spans="1:226" s="418" customFormat="1" ht="12.95" customHeight="1">
      <c r="A1139" s="1809"/>
      <c r="B1139" s="1827"/>
      <c r="C1139" s="1815"/>
      <c r="D1139" s="1818"/>
      <c r="E1139" s="1352" t="s">
        <v>379</v>
      </c>
      <c r="F1139" s="1353">
        <f t="shared" si="101"/>
        <v>94</v>
      </c>
      <c r="G1139" s="1353">
        <v>94</v>
      </c>
      <c r="H1139" s="1353"/>
      <c r="I1139" s="1353"/>
      <c r="J1139" s="1354"/>
      <c r="K1139" s="416"/>
    </row>
    <row r="1140" spans="1:226" s="418" customFormat="1" ht="12.95" customHeight="1">
      <c r="A1140" s="1809"/>
      <c r="B1140" s="1827"/>
      <c r="C1140" s="1815"/>
      <c r="D1140" s="1818"/>
      <c r="E1140" s="1352" t="s">
        <v>347</v>
      </c>
      <c r="F1140" s="1353">
        <f t="shared" si="101"/>
        <v>1180</v>
      </c>
      <c r="G1140" s="1353"/>
      <c r="H1140" s="1353"/>
      <c r="I1140" s="1353">
        <v>1180</v>
      </c>
      <c r="J1140" s="1354"/>
      <c r="K1140" s="416"/>
    </row>
    <row r="1141" spans="1:226" s="418" customFormat="1" ht="12.95" customHeight="1">
      <c r="A1141" s="1809"/>
      <c r="B1141" s="1827"/>
      <c r="C1141" s="1815"/>
      <c r="D1141" s="1818"/>
      <c r="E1141" s="1352" t="s">
        <v>348</v>
      </c>
      <c r="F1141" s="1353">
        <f t="shared" si="101"/>
        <v>220</v>
      </c>
      <c r="G1141" s="1353">
        <v>220</v>
      </c>
      <c r="H1141" s="1353"/>
      <c r="I1141" s="1353"/>
      <c r="J1141" s="1354"/>
      <c r="K1141" s="416"/>
    </row>
    <row r="1142" spans="1:226" s="418" customFormat="1" ht="12.95" customHeight="1">
      <c r="A1142" s="1809"/>
      <c r="B1142" s="1827"/>
      <c r="C1142" s="1815"/>
      <c r="D1142" s="1818"/>
      <c r="E1142" s="1352" t="s">
        <v>380</v>
      </c>
      <c r="F1142" s="1353">
        <f t="shared" si="101"/>
        <v>53096</v>
      </c>
      <c r="G1142" s="1353"/>
      <c r="H1142" s="1353"/>
      <c r="I1142" s="1353">
        <v>53096</v>
      </c>
      <c r="J1142" s="1354"/>
      <c r="K1142" s="416"/>
    </row>
    <row r="1143" spans="1:226" s="418" customFormat="1" ht="12.95" customHeight="1">
      <c r="A1143" s="1809"/>
      <c r="B1143" s="1827"/>
      <c r="C1143" s="1815"/>
      <c r="D1143" s="1818"/>
      <c r="E1143" s="1352" t="s">
        <v>381</v>
      </c>
      <c r="F1143" s="1353">
        <f t="shared" si="101"/>
        <v>9904</v>
      </c>
      <c r="G1143" s="1353">
        <v>9904</v>
      </c>
      <c r="H1143" s="1353"/>
      <c r="I1143" s="1353"/>
      <c r="J1143" s="1354"/>
      <c r="K1143" s="416"/>
    </row>
    <row r="1144" spans="1:226" s="418" customFormat="1" ht="17.25" customHeight="1" thickBot="1">
      <c r="A1144" s="1810"/>
      <c r="B1144" s="1828"/>
      <c r="C1144" s="1816"/>
      <c r="D1144" s="1819"/>
      <c r="E1144" s="1364" t="s">
        <v>324</v>
      </c>
      <c r="F1144" s="1365">
        <f>SUM(F1145:F1146)</f>
        <v>0</v>
      </c>
      <c r="G1144" s="1365">
        <f>SUM(G1145:G1146)</f>
        <v>0</v>
      </c>
      <c r="H1144" s="1365">
        <f>SUM(H1145:H1146)</f>
        <v>0</v>
      </c>
      <c r="I1144" s="1365">
        <f>SUM(I1145:I1146)</f>
        <v>0</v>
      </c>
      <c r="J1144" s="1366">
        <f>SUM(J1145:J1146)</f>
        <v>0</v>
      </c>
      <c r="K1144" s="416"/>
    </row>
    <row r="1145" spans="1:226" s="418" customFormat="1" ht="15" hidden="1" customHeight="1">
      <c r="A1145" s="426"/>
      <c r="B1145" s="1378"/>
      <c r="C1145" s="1368"/>
      <c r="D1145" s="1369"/>
      <c r="E1145" s="424" t="s">
        <v>382</v>
      </c>
      <c r="F1145" s="425">
        <f>SUM(G1145:J1145)</f>
        <v>0</v>
      </c>
      <c r="G1145" s="425"/>
      <c r="H1145" s="425"/>
      <c r="I1145" s="425"/>
      <c r="J1145" s="1403"/>
      <c r="K1145" s="416"/>
    </row>
    <row r="1146" spans="1:226" s="418" customFormat="1" ht="15" hidden="1" customHeight="1">
      <c r="A1146" s="426"/>
      <c r="B1146" s="1378"/>
      <c r="C1146" s="1368"/>
      <c r="D1146" s="1369"/>
      <c r="E1146" s="1379">
        <v>6069</v>
      </c>
      <c r="F1146" s="1380">
        <f>SUM(G1146:J1146)</f>
        <v>0</v>
      </c>
      <c r="G1146" s="1380"/>
      <c r="H1146" s="1380"/>
      <c r="I1146" s="1380"/>
      <c r="J1146" s="1381"/>
      <c r="K1146" s="416"/>
    </row>
    <row r="1147" spans="1:226" s="418" customFormat="1" ht="22.5">
      <c r="A1147" s="1782" t="s">
        <v>350</v>
      </c>
      <c r="B1147" s="1833" t="s">
        <v>526</v>
      </c>
      <c r="C1147" s="1822">
        <v>853</v>
      </c>
      <c r="D1147" s="1824" t="s">
        <v>243</v>
      </c>
      <c r="E1147" s="1361" t="s">
        <v>322</v>
      </c>
      <c r="F1147" s="1362">
        <f>SUM(F1148,F1190)</f>
        <v>15457959</v>
      </c>
      <c r="G1147" s="1362">
        <f>SUM(G1148,G1190)</f>
        <v>2318694</v>
      </c>
      <c r="H1147" s="1362">
        <f>SUM(H1148,H1190)</f>
        <v>0</v>
      </c>
      <c r="I1147" s="1362">
        <f>SUM(I1148,I1190)</f>
        <v>13139265</v>
      </c>
      <c r="J1147" s="1363">
        <f>SUM(J1148,J1190)</f>
        <v>0</v>
      </c>
      <c r="K1147" s="416"/>
    </row>
    <row r="1148" spans="1:226" s="418" customFormat="1" ht="21">
      <c r="A1148" s="1772"/>
      <c r="B1148" s="1774"/>
      <c r="C1148" s="1804"/>
      <c r="D1148" s="1806"/>
      <c r="E1148" s="1346" t="s">
        <v>334</v>
      </c>
      <c r="F1148" s="1347">
        <f>SUM(F1149,F1152,F1163)</f>
        <v>15367959</v>
      </c>
      <c r="G1148" s="1347">
        <f>SUM(G1149,G1152,G1163)</f>
        <v>2305194</v>
      </c>
      <c r="H1148" s="1347">
        <f>SUM(H1149,H1152,H1163)</f>
        <v>0</v>
      </c>
      <c r="I1148" s="1347">
        <f>SUM(I1149,I1152,I1163)</f>
        <v>13062765</v>
      </c>
      <c r="J1148" s="1348">
        <f>SUM(J1149,J1152,J1163)</f>
        <v>0</v>
      </c>
      <c r="K1148" s="416"/>
      <c r="L1148" s="416"/>
      <c r="M1148" s="416"/>
      <c r="N1148" s="416"/>
      <c r="O1148" s="416"/>
      <c r="P1148" s="416"/>
      <c r="Q1148" s="416"/>
      <c r="R1148" s="416"/>
      <c r="S1148" s="416"/>
      <c r="T1148" s="416"/>
      <c r="U1148" s="416"/>
      <c r="V1148" s="416"/>
      <c r="W1148" s="416"/>
      <c r="X1148" s="416"/>
      <c r="Y1148" s="416"/>
      <c r="Z1148" s="416"/>
      <c r="AA1148" s="416"/>
      <c r="AB1148" s="416"/>
      <c r="AC1148" s="416"/>
      <c r="AD1148" s="416"/>
      <c r="AE1148" s="416"/>
      <c r="AF1148" s="416"/>
      <c r="AG1148" s="416"/>
      <c r="AH1148" s="416"/>
      <c r="AI1148" s="416"/>
      <c r="AJ1148" s="416"/>
      <c r="AK1148" s="416"/>
      <c r="AL1148" s="416"/>
      <c r="AM1148" s="416"/>
      <c r="AN1148" s="416"/>
      <c r="AO1148" s="416"/>
      <c r="AP1148" s="416"/>
      <c r="AQ1148" s="416"/>
      <c r="AR1148" s="416"/>
      <c r="AS1148" s="416"/>
      <c r="AT1148" s="416"/>
      <c r="AU1148" s="416"/>
      <c r="AV1148" s="416"/>
      <c r="AW1148" s="416"/>
      <c r="AX1148" s="416"/>
      <c r="AY1148" s="416"/>
      <c r="AZ1148" s="416"/>
      <c r="BA1148" s="416"/>
      <c r="BB1148" s="416"/>
      <c r="BC1148" s="416"/>
      <c r="BD1148" s="416"/>
      <c r="BE1148" s="416"/>
      <c r="BF1148" s="416"/>
      <c r="BG1148" s="416"/>
      <c r="BH1148" s="416"/>
      <c r="BI1148" s="416"/>
      <c r="BJ1148" s="416"/>
      <c r="BK1148" s="416"/>
      <c r="BL1148" s="416"/>
      <c r="BM1148" s="416"/>
      <c r="BN1148" s="416"/>
      <c r="BO1148" s="416"/>
      <c r="BP1148" s="416"/>
      <c r="BQ1148" s="416"/>
      <c r="BR1148" s="416"/>
      <c r="BS1148" s="416"/>
      <c r="BT1148" s="416"/>
      <c r="BU1148" s="416"/>
      <c r="BV1148" s="416"/>
      <c r="BW1148" s="416"/>
      <c r="BX1148" s="416"/>
      <c r="BY1148" s="416"/>
      <c r="BZ1148" s="416"/>
      <c r="CA1148" s="416"/>
      <c r="CB1148" s="416"/>
      <c r="CC1148" s="416"/>
      <c r="CD1148" s="416"/>
      <c r="CE1148" s="416"/>
      <c r="CF1148" s="416"/>
      <c r="CG1148" s="416"/>
      <c r="CH1148" s="416"/>
      <c r="CI1148" s="416"/>
      <c r="CJ1148" s="416"/>
      <c r="CK1148" s="416"/>
      <c r="CL1148" s="416"/>
      <c r="CM1148" s="416"/>
      <c r="CN1148" s="416"/>
      <c r="CO1148" s="416"/>
      <c r="CP1148" s="416"/>
      <c r="CQ1148" s="416"/>
      <c r="CR1148" s="416"/>
      <c r="CS1148" s="416"/>
      <c r="CT1148" s="416"/>
      <c r="CU1148" s="416"/>
      <c r="CV1148" s="416"/>
      <c r="CW1148" s="416"/>
      <c r="CX1148" s="416"/>
      <c r="CY1148" s="416"/>
      <c r="CZ1148" s="416"/>
      <c r="DA1148" s="416"/>
      <c r="DB1148" s="416"/>
      <c r="DC1148" s="416"/>
      <c r="DD1148" s="416"/>
      <c r="DE1148" s="416"/>
      <c r="DF1148" s="416"/>
      <c r="DG1148" s="416"/>
      <c r="DH1148" s="416"/>
      <c r="DI1148" s="416"/>
      <c r="DJ1148" s="416"/>
      <c r="DK1148" s="416"/>
      <c r="DL1148" s="416"/>
      <c r="DM1148" s="416"/>
      <c r="DN1148" s="416"/>
      <c r="DO1148" s="416"/>
      <c r="DP1148" s="416"/>
      <c r="DQ1148" s="416"/>
      <c r="DR1148" s="416"/>
      <c r="DS1148" s="416"/>
      <c r="DT1148" s="416"/>
      <c r="DU1148" s="416"/>
      <c r="DV1148" s="416"/>
      <c r="DW1148" s="416"/>
      <c r="DX1148" s="416"/>
      <c r="DY1148" s="416"/>
      <c r="DZ1148" s="416"/>
      <c r="EA1148" s="416"/>
      <c r="EB1148" s="416"/>
      <c r="EC1148" s="416"/>
      <c r="ED1148" s="416"/>
      <c r="EE1148" s="416"/>
      <c r="EF1148" s="416"/>
      <c r="EG1148" s="416"/>
      <c r="EH1148" s="416"/>
      <c r="EI1148" s="416"/>
      <c r="EJ1148" s="416"/>
      <c r="EK1148" s="416"/>
      <c r="EL1148" s="416"/>
      <c r="EM1148" s="416"/>
      <c r="EN1148" s="416"/>
      <c r="EO1148" s="416"/>
      <c r="EP1148" s="416"/>
      <c r="EQ1148" s="416"/>
      <c r="ER1148" s="416"/>
      <c r="ES1148" s="416"/>
      <c r="ET1148" s="416"/>
      <c r="EU1148" s="416"/>
      <c r="EV1148" s="416"/>
      <c r="EW1148" s="416"/>
      <c r="EX1148" s="416"/>
      <c r="EY1148" s="416"/>
      <c r="EZ1148" s="416"/>
      <c r="FA1148" s="416"/>
      <c r="FB1148" s="416"/>
      <c r="FC1148" s="416"/>
      <c r="FD1148" s="416"/>
      <c r="FE1148" s="416"/>
      <c r="FF1148" s="416"/>
      <c r="FG1148" s="416"/>
      <c r="FH1148" s="416"/>
      <c r="FI1148" s="416"/>
      <c r="FJ1148" s="416"/>
      <c r="FK1148" s="416"/>
      <c r="FL1148" s="416"/>
      <c r="FM1148" s="416"/>
      <c r="FN1148" s="416"/>
      <c r="FO1148" s="416"/>
      <c r="FP1148" s="416"/>
      <c r="FQ1148" s="416"/>
      <c r="FR1148" s="416"/>
      <c r="FS1148" s="416"/>
      <c r="FT1148" s="416"/>
      <c r="FU1148" s="416"/>
      <c r="FV1148" s="416"/>
      <c r="FW1148" s="416"/>
      <c r="FX1148" s="416"/>
      <c r="FY1148" s="416"/>
      <c r="FZ1148" s="416"/>
      <c r="GA1148" s="416"/>
      <c r="GB1148" s="416"/>
      <c r="GC1148" s="416"/>
      <c r="GD1148" s="416"/>
      <c r="GE1148" s="416"/>
      <c r="GF1148" s="416"/>
      <c r="GG1148" s="416"/>
      <c r="GH1148" s="416"/>
      <c r="GI1148" s="416"/>
      <c r="GJ1148" s="416"/>
      <c r="GK1148" s="416"/>
      <c r="GL1148" s="416"/>
      <c r="GM1148" s="416"/>
      <c r="GN1148" s="416"/>
      <c r="GO1148" s="416"/>
      <c r="GP1148" s="416"/>
      <c r="GQ1148" s="416"/>
      <c r="GR1148" s="416"/>
      <c r="GS1148" s="416"/>
      <c r="GT1148" s="416"/>
      <c r="GU1148" s="416"/>
      <c r="GV1148" s="416"/>
      <c r="GW1148" s="416"/>
      <c r="GX1148" s="416"/>
      <c r="GY1148" s="416"/>
      <c r="GZ1148" s="416"/>
      <c r="HA1148" s="416"/>
      <c r="HB1148" s="416"/>
      <c r="HC1148" s="416"/>
      <c r="HD1148" s="416"/>
      <c r="HE1148" s="416"/>
      <c r="HF1148" s="416"/>
      <c r="HG1148" s="416"/>
      <c r="HH1148" s="416"/>
      <c r="HI1148" s="416"/>
      <c r="HJ1148" s="416"/>
      <c r="HK1148" s="416"/>
      <c r="HL1148" s="416"/>
      <c r="HM1148" s="416"/>
      <c r="HN1148" s="416"/>
      <c r="HO1148" s="416"/>
      <c r="HP1148" s="416"/>
      <c r="HQ1148" s="416"/>
      <c r="HR1148" s="416"/>
    </row>
    <row r="1149" spans="1:226" s="418" customFormat="1" ht="24.95" hidden="1" customHeight="1">
      <c r="A1149" s="1772"/>
      <c r="B1149" s="1774"/>
      <c r="C1149" s="1804"/>
      <c r="D1149" s="1806"/>
      <c r="E1149" s="1349" t="s">
        <v>389</v>
      </c>
      <c r="F1149" s="1350">
        <f>SUM(F1150:F1151)</f>
        <v>0</v>
      </c>
      <c r="G1149" s="1350">
        <f>SUM(G1150:G1151)</f>
        <v>0</v>
      </c>
      <c r="H1149" s="1350">
        <f>SUM(H1150:H1151)</f>
        <v>0</v>
      </c>
      <c r="I1149" s="1350">
        <f>SUM(I1150:I1151)</f>
        <v>0</v>
      </c>
      <c r="J1149" s="1351">
        <f>SUM(J1150:J1151)</f>
        <v>0</v>
      </c>
      <c r="K1149" s="416"/>
    </row>
    <row r="1150" spans="1:226" s="418" customFormat="1" ht="15" hidden="1" customHeight="1">
      <c r="A1150" s="1772"/>
      <c r="B1150" s="1774"/>
      <c r="C1150" s="1804"/>
      <c r="D1150" s="1806"/>
      <c r="E1150" s="1352"/>
      <c r="F1150" s="1353">
        <f>SUM(G1150:J1150)</f>
        <v>0</v>
      </c>
      <c r="G1150" s="1353"/>
      <c r="H1150" s="1353"/>
      <c r="I1150" s="1353"/>
      <c r="J1150" s="1354"/>
      <c r="K1150" s="416"/>
    </row>
    <row r="1151" spans="1:226" s="418" customFormat="1" ht="15" hidden="1" customHeight="1">
      <c r="A1151" s="1772"/>
      <c r="B1151" s="1774"/>
      <c r="C1151" s="1804"/>
      <c r="D1151" s="1806"/>
      <c r="E1151" s="1352"/>
      <c r="F1151" s="1353">
        <f>SUM(G1151:J1151)</f>
        <v>0</v>
      </c>
      <c r="G1151" s="1353"/>
      <c r="H1151" s="1353"/>
      <c r="I1151" s="1353"/>
      <c r="J1151" s="1354"/>
      <c r="K1151" s="416"/>
    </row>
    <row r="1152" spans="1:226" s="418" customFormat="1" ht="21" customHeight="1">
      <c r="A1152" s="1772"/>
      <c r="B1152" s="1774"/>
      <c r="C1152" s="1804"/>
      <c r="D1152" s="1806"/>
      <c r="E1152" s="1349" t="s">
        <v>335</v>
      </c>
      <c r="F1152" s="1350">
        <f>SUM(F1153:F1162)</f>
        <v>14083117</v>
      </c>
      <c r="G1152" s="1350">
        <f>SUM(G1153:G1162)</f>
        <v>2112467</v>
      </c>
      <c r="H1152" s="1350">
        <f>SUM(H1153:H1162)</f>
        <v>0</v>
      </c>
      <c r="I1152" s="1350">
        <f>SUM(I1153:I1162)</f>
        <v>11970650</v>
      </c>
      <c r="J1152" s="1351">
        <f>SUM(J1153:J1162)</f>
        <v>0</v>
      </c>
      <c r="K1152" s="416"/>
    </row>
    <row r="1153" spans="1:11" s="418" customFormat="1" ht="12.95" customHeight="1">
      <c r="A1153" s="1772"/>
      <c r="B1153" s="1774"/>
      <c r="C1153" s="1804"/>
      <c r="D1153" s="1806"/>
      <c r="E1153" s="1352" t="s">
        <v>362</v>
      </c>
      <c r="F1153" s="1353">
        <f t="shared" ref="F1153:F1162" si="102">SUM(G1153:J1153)</f>
        <v>9328838</v>
      </c>
      <c r="G1153" s="1353"/>
      <c r="H1153" s="1353"/>
      <c r="I1153" s="1353">
        <v>9328838</v>
      </c>
      <c r="J1153" s="1354"/>
      <c r="K1153" s="416"/>
    </row>
    <row r="1154" spans="1:11" s="418" customFormat="1" ht="12.95" customHeight="1">
      <c r="A1154" s="1772"/>
      <c r="B1154" s="1774"/>
      <c r="C1154" s="1804"/>
      <c r="D1154" s="1806"/>
      <c r="E1154" s="1352" t="s">
        <v>363</v>
      </c>
      <c r="F1154" s="1353">
        <f t="shared" si="102"/>
        <v>1646266</v>
      </c>
      <c r="G1154" s="1353">
        <v>1646266</v>
      </c>
      <c r="H1154" s="1353"/>
      <c r="I1154" s="1353"/>
      <c r="J1154" s="1354"/>
      <c r="K1154" s="416"/>
    </row>
    <row r="1155" spans="1:11" s="418" customFormat="1" ht="12.95" customHeight="1">
      <c r="A1155" s="1772"/>
      <c r="B1155" s="1774"/>
      <c r="C1155" s="1804"/>
      <c r="D1155" s="1806"/>
      <c r="E1155" s="1352" t="s">
        <v>364</v>
      </c>
      <c r="F1155" s="1353">
        <f t="shared" si="102"/>
        <v>623498</v>
      </c>
      <c r="G1155" s="1353"/>
      <c r="H1155" s="1353"/>
      <c r="I1155" s="1353">
        <v>623498</v>
      </c>
      <c r="J1155" s="1354"/>
      <c r="K1155" s="416"/>
    </row>
    <row r="1156" spans="1:11" s="418" customFormat="1" ht="12.95" customHeight="1">
      <c r="A1156" s="1772"/>
      <c r="B1156" s="1774"/>
      <c r="C1156" s="1804"/>
      <c r="D1156" s="1806"/>
      <c r="E1156" s="1352" t="s">
        <v>365</v>
      </c>
      <c r="F1156" s="1353">
        <f t="shared" si="102"/>
        <v>110029</v>
      </c>
      <c r="G1156" s="1353">
        <v>110029</v>
      </c>
      <c r="H1156" s="1353"/>
      <c r="I1156" s="1353"/>
      <c r="J1156" s="1354"/>
      <c r="K1156" s="416"/>
    </row>
    <row r="1157" spans="1:11" s="418" customFormat="1" ht="12.95" customHeight="1">
      <c r="A1157" s="1772"/>
      <c r="B1157" s="1774"/>
      <c r="C1157" s="1804"/>
      <c r="D1157" s="1806"/>
      <c r="E1157" s="1352" t="s">
        <v>336</v>
      </c>
      <c r="F1157" s="1353">
        <f t="shared" si="102"/>
        <v>1701850</v>
      </c>
      <c r="G1157" s="1353"/>
      <c r="H1157" s="1353"/>
      <c r="I1157" s="1353">
        <v>1701850</v>
      </c>
      <c r="J1157" s="1354"/>
      <c r="K1157" s="416"/>
    </row>
    <row r="1158" spans="1:11" s="418" customFormat="1" ht="12.95" customHeight="1">
      <c r="A1158" s="1772"/>
      <c r="B1158" s="1774"/>
      <c r="C1158" s="1804"/>
      <c r="D1158" s="1806"/>
      <c r="E1158" s="1352" t="s">
        <v>337</v>
      </c>
      <c r="F1158" s="1353">
        <f t="shared" si="102"/>
        <v>300326</v>
      </c>
      <c r="G1158" s="1353">
        <v>300326</v>
      </c>
      <c r="H1158" s="1353"/>
      <c r="I1158" s="1353"/>
      <c r="J1158" s="1354"/>
      <c r="K1158" s="416"/>
    </row>
    <row r="1159" spans="1:11" s="418" customFormat="1" ht="12.95" customHeight="1">
      <c r="A1159" s="1772"/>
      <c r="B1159" s="1774"/>
      <c r="C1159" s="1804"/>
      <c r="D1159" s="1806"/>
      <c r="E1159" s="1352" t="s">
        <v>366</v>
      </c>
      <c r="F1159" s="1353">
        <f t="shared" si="102"/>
        <v>243831</v>
      </c>
      <c r="G1159" s="1353"/>
      <c r="H1159" s="1353"/>
      <c r="I1159" s="1353">
        <v>243831</v>
      </c>
      <c r="J1159" s="1354"/>
      <c r="K1159" s="416"/>
    </row>
    <row r="1160" spans="1:11" s="418" customFormat="1" ht="12.95" customHeight="1">
      <c r="A1160" s="1772"/>
      <c r="B1160" s="1774"/>
      <c r="C1160" s="1804"/>
      <c r="D1160" s="1806"/>
      <c r="E1160" s="1352" t="s">
        <v>367</v>
      </c>
      <c r="F1160" s="1353">
        <f t="shared" si="102"/>
        <v>43029</v>
      </c>
      <c r="G1160" s="1353">
        <v>43029</v>
      </c>
      <c r="H1160" s="1353"/>
      <c r="I1160" s="1353"/>
      <c r="J1160" s="1354"/>
      <c r="K1160" s="416"/>
    </row>
    <row r="1161" spans="1:11" s="418" customFormat="1" ht="12.95" customHeight="1">
      <c r="A1161" s="1772"/>
      <c r="B1161" s="1774"/>
      <c r="C1161" s="1804"/>
      <c r="D1161" s="1806"/>
      <c r="E1161" s="1352" t="s">
        <v>338</v>
      </c>
      <c r="F1161" s="1353">
        <f t="shared" si="102"/>
        <v>72633</v>
      </c>
      <c r="G1161" s="1353"/>
      <c r="H1161" s="1353"/>
      <c r="I1161" s="1353">
        <v>72633</v>
      </c>
      <c r="J1161" s="1354"/>
      <c r="K1161" s="416"/>
    </row>
    <row r="1162" spans="1:11" s="418" customFormat="1" ht="12.95" customHeight="1">
      <c r="A1162" s="1772"/>
      <c r="B1162" s="1774"/>
      <c r="C1162" s="1804"/>
      <c r="D1162" s="1806"/>
      <c r="E1162" s="1352" t="s">
        <v>339</v>
      </c>
      <c r="F1162" s="1353">
        <f t="shared" si="102"/>
        <v>12817</v>
      </c>
      <c r="G1162" s="1353">
        <v>12817</v>
      </c>
      <c r="H1162" s="1353"/>
      <c r="I1162" s="1353"/>
      <c r="J1162" s="1354"/>
      <c r="K1162" s="416"/>
    </row>
    <row r="1163" spans="1:11" s="418" customFormat="1" ht="19.5" customHeight="1">
      <c r="A1163" s="1772"/>
      <c r="B1163" s="1774"/>
      <c r="C1163" s="1804"/>
      <c r="D1163" s="1806"/>
      <c r="E1163" s="1349" t="s">
        <v>340</v>
      </c>
      <c r="F1163" s="1350">
        <f>SUM(F1164:F1189)</f>
        <v>1284842</v>
      </c>
      <c r="G1163" s="1350">
        <f>SUM(G1164:G1189)</f>
        <v>192727</v>
      </c>
      <c r="H1163" s="1350">
        <f>SUM(H1164:H1189)</f>
        <v>0</v>
      </c>
      <c r="I1163" s="1350">
        <f>SUM(I1164:I1189)</f>
        <v>1092115</v>
      </c>
      <c r="J1163" s="1351">
        <f>SUM(J1164:J1189)</f>
        <v>0</v>
      </c>
      <c r="K1163" s="416"/>
    </row>
    <row r="1164" spans="1:11" s="418" customFormat="1" ht="12.95" customHeight="1">
      <c r="A1164" s="1772"/>
      <c r="B1164" s="1774"/>
      <c r="C1164" s="1804"/>
      <c r="D1164" s="1806"/>
      <c r="E1164" s="1352" t="s">
        <v>370</v>
      </c>
      <c r="F1164" s="1353">
        <f t="shared" ref="F1164:F1189" si="103">SUM(G1164:J1164)</f>
        <v>8925</v>
      </c>
      <c r="G1164" s="1353"/>
      <c r="H1164" s="1353"/>
      <c r="I1164" s="1353">
        <v>8925</v>
      </c>
      <c r="J1164" s="1354"/>
      <c r="K1164" s="416"/>
    </row>
    <row r="1165" spans="1:11" s="418" customFormat="1" ht="12.95" customHeight="1">
      <c r="A1165" s="1772"/>
      <c r="B1165" s="1774"/>
      <c r="C1165" s="1804"/>
      <c r="D1165" s="1806"/>
      <c r="E1165" s="1352" t="s">
        <v>371</v>
      </c>
      <c r="F1165" s="1353">
        <f t="shared" si="103"/>
        <v>1575</v>
      </c>
      <c r="G1165" s="1353">
        <v>1575</v>
      </c>
      <c r="H1165" s="1353"/>
      <c r="I1165" s="1353"/>
      <c r="J1165" s="1354"/>
      <c r="K1165" s="416"/>
    </row>
    <row r="1166" spans="1:11" s="418" customFormat="1" ht="12.95" customHeight="1">
      <c r="A1166" s="1772"/>
      <c r="B1166" s="1774"/>
      <c r="C1166" s="1804"/>
      <c r="D1166" s="1806"/>
      <c r="E1166" s="1352" t="s">
        <v>341</v>
      </c>
      <c r="F1166" s="1353">
        <f t="shared" si="103"/>
        <v>228650</v>
      </c>
      <c r="G1166" s="1353"/>
      <c r="H1166" s="1353"/>
      <c r="I1166" s="1353">
        <v>228650</v>
      </c>
      <c r="J1166" s="1354"/>
      <c r="K1166" s="416"/>
    </row>
    <row r="1167" spans="1:11" s="418" customFormat="1" ht="12.95" customHeight="1">
      <c r="A1167" s="1772"/>
      <c r="B1167" s="1774"/>
      <c r="C1167" s="1804"/>
      <c r="D1167" s="1806"/>
      <c r="E1167" s="1352" t="s">
        <v>342</v>
      </c>
      <c r="F1167" s="1353">
        <f t="shared" si="103"/>
        <v>40350</v>
      </c>
      <c r="G1167" s="1353">
        <v>40350</v>
      </c>
      <c r="H1167" s="1353"/>
      <c r="I1167" s="1353"/>
      <c r="J1167" s="1354"/>
      <c r="K1167" s="416"/>
    </row>
    <row r="1168" spans="1:11" s="418" customFormat="1" ht="12.95" customHeight="1">
      <c r="A1168" s="1772"/>
      <c r="B1168" s="1774"/>
      <c r="C1168" s="1804"/>
      <c r="D1168" s="1806"/>
      <c r="E1168" s="1352" t="s">
        <v>372</v>
      </c>
      <c r="F1168" s="1353">
        <f t="shared" si="103"/>
        <v>127500</v>
      </c>
      <c r="G1168" s="1353"/>
      <c r="H1168" s="1353"/>
      <c r="I1168" s="1353">
        <v>127500</v>
      </c>
      <c r="J1168" s="1354"/>
      <c r="K1168" s="416"/>
    </row>
    <row r="1169" spans="1:226" s="418" customFormat="1" ht="12.95" customHeight="1">
      <c r="A1169" s="1772"/>
      <c r="B1169" s="1774"/>
      <c r="C1169" s="1804"/>
      <c r="D1169" s="1806"/>
      <c r="E1169" s="1352" t="s">
        <v>373</v>
      </c>
      <c r="F1169" s="1353">
        <f t="shared" si="103"/>
        <v>22500</v>
      </c>
      <c r="G1169" s="1353">
        <v>22500</v>
      </c>
      <c r="H1169" s="1353"/>
      <c r="I1169" s="1353"/>
      <c r="J1169" s="1354"/>
      <c r="K1169" s="416"/>
    </row>
    <row r="1170" spans="1:226" s="418" customFormat="1" ht="12.95" customHeight="1">
      <c r="A1170" s="1772"/>
      <c r="B1170" s="1774"/>
      <c r="C1170" s="1804"/>
      <c r="D1170" s="1806"/>
      <c r="E1170" s="1352" t="s">
        <v>440</v>
      </c>
      <c r="F1170" s="1353">
        <f t="shared" si="103"/>
        <v>45203</v>
      </c>
      <c r="G1170" s="1353"/>
      <c r="H1170" s="1353"/>
      <c r="I1170" s="1353">
        <v>45203</v>
      </c>
      <c r="J1170" s="1354"/>
      <c r="K1170" s="416"/>
    </row>
    <row r="1171" spans="1:226" s="418" customFormat="1" ht="12.95" customHeight="1">
      <c r="A1171" s="1772"/>
      <c r="B1171" s="1774"/>
      <c r="C1171" s="1804"/>
      <c r="D1171" s="1806"/>
      <c r="E1171" s="1352" t="s">
        <v>441</v>
      </c>
      <c r="F1171" s="1353">
        <f t="shared" si="103"/>
        <v>7977</v>
      </c>
      <c r="G1171" s="1353">
        <v>7977</v>
      </c>
      <c r="H1171" s="1353"/>
      <c r="I1171" s="1353"/>
      <c r="J1171" s="1354"/>
      <c r="K1171" s="416"/>
    </row>
    <row r="1172" spans="1:226" s="418" customFormat="1" ht="12.95" customHeight="1">
      <c r="A1172" s="1772"/>
      <c r="B1172" s="1774"/>
      <c r="C1172" s="1804"/>
      <c r="D1172" s="1806"/>
      <c r="E1172" s="1352" t="s">
        <v>374</v>
      </c>
      <c r="F1172" s="1353">
        <f t="shared" si="103"/>
        <v>6827</v>
      </c>
      <c r="G1172" s="1353"/>
      <c r="H1172" s="1353"/>
      <c r="I1172" s="1353">
        <v>6827</v>
      </c>
      <c r="J1172" s="1354"/>
      <c r="K1172" s="416"/>
    </row>
    <row r="1173" spans="1:226" s="418" customFormat="1" ht="12.95" customHeight="1">
      <c r="A1173" s="1772"/>
      <c r="B1173" s="1774"/>
      <c r="C1173" s="1804"/>
      <c r="D1173" s="1806"/>
      <c r="E1173" s="1352" t="s">
        <v>375</v>
      </c>
      <c r="F1173" s="1353">
        <f t="shared" si="103"/>
        <v>1205</v>
      </c>
      <c r="G1173" s="1353">
        <v>1205</v>
      </c>
      <c r="H1173" s="1353"/>
      <c r="I1173" s="1353"/>
      <c r="J1173" s="1354"/>
      <c r="K1173" s="416"/>
    </row>
    <row r="1174" spans="1:226" s="418" customFormat="1" ht="12.95" customHeight="1">
      <c r="A1174" s="1772"/>
      <c r="B1174" s="1774"/>
      <c r="C1174" s="1804"/>
      <c r="D1174" s="1806"/>
      <c r="E1174" s="1352" t="s">
        <v>343</v>
      </c>
      <c r="F1174" s="1353">
        <f t="shared" si="103"/>
        <v>401650</v>
      </c>
      <c r="G1174" s="1353"/>
      <c r="H1174" s="1353"/>
      <c r="I1174" s="1353">
        <v>401650</v>
      </c>
      <c r="J1174" s="1354"/>
      <c r="K1174" s="416"/>
    </row>
    <row r="1175" spans="1:226" s="418" customFormat="1" ht="12.95" customHeight="1">
      <c r="A1175" s="1772"/>
      <c r="B1175" s="1774"/>
      <c r="C1175" s="1804"/>
      <c r="D1175" s="1806"/>
      <c r="E1175" s="1352" t="s">
        <v>344</v>
      </c>
      <c r="F1175" s="1353">
        <f t="shared" si="103"/>
        <v>70880</v>
      </c>
      <c r="G1175" s="1353">
        <v>70880</v>
      </c>
      <c r="H1175" s="1353"/>
      <c r="I1175" s="1353"/>
      <c r="J1175" s="1354"/>
      <c r="K1175" s="416"/>
    </row>
    <row r="1176" spans="1:226" s="418" customFormat="1" ht="12.95" customHeight="1">
      <c r="A1176" s="1772"/>
      <c r="B1176" s="1774"/>
      <c r="C1176" s="1804"/>
      <c r="D1176" s="1806"/>
      <c r="E1176" s="1352" t="s">
        <v>471</v>
      </c>
      <c r="F1176" s="1353">
        <f t="shared" si="103"/>
        <v>29750</v>
      </c>
      <c r="G1176" s="1353"/>
      <c r="H1176" s="1353"/>
      <c r="I1176" s="1353">
        <v>29750</v>
      </c>
      <c r="J1176" s="1354"/>
      <c r="K1176" s="416"/>
    </row>
    <row r="1177" spans="1:226" s="418" customFormat="1" ht="12.95" customHeight="1">
      <c r="A1177" s="1772"/>
      <c r="B1177" s="1774"/>
      <c r="C1177" s="1804"/>
      <c r="D1177" s="1806"/>
      <c r="E1177" s="1352" t="s">
        <v>426</v>
      </c>
      <c r="F1177" s="1353">
        <f t="shared" si="103"/>
        <v>5250</v>
      </c>
      <c r="G1177" s="1353">
        <v>5250</v>
      </c>
      <c r="H1177" s="1353"/>
      <c r="I1177" s="1353"/>
      <c r="J1177" s="1354"/>
      <c r="K1177" s="416"/>
    </row>
    <row r="1178" spans="1:226" s="418" customFormat="1" ht="12.95" customHeight="1">
      <c r="A1178" s="1772"/>
      <c r="B1178" s="1774"/>
      <c r="C1178" s="1804"/>
      <c r="D1178" s="1806"/>
      <c r="E1178" s="1352" t="s">
        <v>358</v>
      </c>
      <c r="F1178" s="1353">
        <f t="shared" si="103"/>
        <v>850</v>
      </c>
      <c r="G1178" s="1353"/>
      <c r="H1178" s="1353"/>
      <c r="I1178" s="1353">
        <v>850</v>
      </c>
      <c r="J1178" s="1354"/>
      <c r="K1178" s="416"/>
    </row>
    <row r="1179" spans="1:226" s="418" customFormat="1" ht="12.95" customHeight="1">
      <c r="A1179" s="1772"/>
      <c r="B1179" s="1774"/>
      <c r="C1179" s="1804"/>
      <c r="D1179" s="1806"/>
      <c r="E1179" s="1352" t="s">
        <v>359</v>
      </c>
      <c r="F1179" s="1353">
        <f t="shared" si="103"/>
        <v>150</v>
      </c>
      <c r="G1179" s="1353">
        <v>150</v>
      </c>
      <c r="H1179" s="1353"/>
      <c r="I1179" s="1353"/>
      <c r="J1179" s="1354"/>
      <c r="K1179" s="416"/>
    </row>
    <row r="1180" spans="1:226" s="418" customFormat="1" ht="12.95" customHeight="1">
      <c r="A1180" s="1772"/>
      <c r="B1180" s="1774"/>
      <c r="C1180" s="1804"/>
      <c r="D1180" s="1806"/>
      <c r="E1180" s="1352" t="s">
        <v>472</v>
      </c>
      <c r="F1180" s="1353">
        <f t="shared" si="103"/>
        <v>8500</v>
      </c>
      <c r="G1180" s="1353"/>
      <c r="H1180" s="1353"/>
      <c r="I1180" s="1353">
        <v>8500</v>
      </c>
      <c r="J1180" s="1354"/>
      <c r="K1180" s="416"/>
      <c r="L1180" s="416"/>
      <c r="M1180" s="416"/>
      <c r="N1180" s="416"/>
      <c r="O1180" s="416"/>
      <c r="P1180" s="416"/>
      <c r="Q1180" s="416"/>
      <c r="R1180" s="416"/>
      <c r="S1180" s="416"/>
      <c r="T1180" s="416"/>
      <c r="U1180" s="416"/>
      <c r="V1180" s="416"/>
      <c r="W1180" s="416"/>
      <c r="X1180" s="416"/>
      <c r="Y1180" s="416"/>
      <c r="Z1180" s="416"/>
      <c r="AA1180" s="416"/>
      <c r="AB1180" s="416"/>
      <c r="AC1180" s="416"/>
      <c r="AD1180" s="416"/>
      <c r="AE1180" s="416"/>
      <c r="AF1180" s="416"/>
      <c r="AG1180" s="416"/>
      <c r="AH1180" s="416"/>
      <c r="AI1180" s="416"/>
      <c r="AJ1180" s="416"/>
      <c r="AK1180" s="416"/>
      <c r="AL1180" s="416"/>
      <c r="AM1180" s="416"/>
      <c r="AN1180" s="416"/>
      <c r="AO1180" s="416"/>
      <c r="AP1180" s="416"/>
      <c r="AQ1180" s="416"/>
      <c r="AR1180" s="416"/>
      <c r="AS1180" s="416"/>
      <c r="AT1180" s="416"/>
      <c r="AU1180" s="416"/>
      <c r="AV1180" s="416"/>
      <c r="AW1180" s="416"/>
      <c r="AX1180" s="416"/>
      <c r="AY1180" s="416"/>
      <c r="AZ1180" s="416"/>
      <c r="BA1180" s="416"/>
      <c r="BB1180" s="416"/>
      <c r="BC1180" s="416"/>
      <c r="BD1180" s="416"/>
      <c r="BE1180" s="416"/>
      <c r="BF1180" s="416"/>
      <c r="BG1180" s="416"/>
      <c r="BH1180" s="416"/>
      <c r="BI1180" s="416"/>
      <c r="BJ1180" s="416"/>
      <c r="BK1180" s="416"/>
      <c r="BL1180" s="416"/>
      <c r="BM1180" s="416"/>
      <c r="BN1180" s="416"/>
      <c r="BO1180" s="416"/>
      <c r="BP1180" s="416"/>
      <c r="BQ1180" s="416"/>
      <c r="BR1180" s="416"/>
      <c r="BS1180" s="416"/>
      <c r="BT1180" s="416"/>
      <c r="BU1180" s="416"/>
      <c r="BV1180" s="416"/>
      <c r="BW1180" s="416"/>
      <c r="BX1180" s="416"/>
      <c r="BY1180" s="416"/>
      <c r="BZ1180" s="416"/>
      <c r="CA1180" s="416"/>
      <c r="CB1180" s="416"/>
      <c r="CC1180" s="416"/>
      <c r="CD1180" s="416"/>
      <c r="CE1180" s="416"/>
      <c r="CF1180" s="416"/>
      <c r="CG1180" s="416"/>
      <c r="CH1180" s="416"/>
      <c r="CI1180" s="416"/>
      <c r="CJ1180" s="416"/>
      <c r="CK1180" s="416"/>
      <c r="CL1180" s="416"/>
      <c r="CM1180" s="416"/>
      <c r="CN1180" s="416"/>
      <c r="CO1180" s="416"/>
      <c r="CP1180" s="416"/>
      <c r="CQ1180" s="416"/>
      <c r="CR1180" s="416"/>
      <c r="CS1180" s="416"/>
      <c r="CT1180" s="416"/>
      <c r="CU1180" s="416"/>
      <c r="CV1180" s="416"/>
      <c r="CW1180" s="416"/>
      <c r="CX1180" s="416"/>
      <c r="CY1180" s="416"/>
      <c r="CZ1180" s="416"/>
      <c r="DA1180" s="416"/>
      <c r="DB1180" s="416"/>
      <c r="DC1180" s="416"/>
      <c r="DD1180" s="416"/>
      <c r="DE1180" s="416"/>
      <c r="DF1180" s="416"/>
      <c r="DG1180" s="416"/>
      <c r="DH1180" s="416"/>
      <c r="DI1180" s="416"/>
      <c r="DJ1180" s="416"/>
      <c r="DK1180" s="416"/>
      <c r="DL1180" s="416"/>
      <c r="DM1180" s="416"/>
      <c r="DN1180" s="416"/>
      <c r="DO1180" s="416"/>
      <c r="DP1180" s="416"/>
      <c r="DQ1180" s="416"/>
      <c r="DR1180" s="416"/>
      <c r="DS1180" s="416"/>
      <c r="DT1180" s="416"/>
      <c r="DU1180" s="416"/>
      <c r="DV1180" s="416"/>
      <c r="DW1180" s="416"/>
      <c r="DX1180" s="416"/>
      <c r="DY1180" s="416"/>
      <c r="DZ1180" s="416"/>
      <c r="EA1180" s="416"/>
      <c r="EB1180" s="416"/>
      <c r="EC1180" s="416"/>
      <c r="ED1180" s="416"/>
      <c r="EE1180" s="416"/>
      <c r="EF1180" s="416"/>
      <c r="EG1180" s="416"/>
      <c r="EH1180" s="416"/>
      <c r="EI1180" s="416"/>
      <c r="EJ1180" s="416"/>
      <c r="EK1180" s="416"/>
      <c r="EL1180" s="416"/>
      <c r="EM1180" s="416"/>
      <c r="EN1180" s="416"/>
      <c r="EO1180" s="416"/>
      <c r="EP1180" s="416"/>
      <c r="EQ1180" s="416"/>
      <c r="ER1180" s="416"/>
      <c r="ES1180" s="416"/>
      <c r="ET1180" s="416"/>
      <c r="EU1180" s="416"/>
      <c r="EV1180" s="416"/>
      <c r="EW1180" s="416"/>
      <c r="EX1180" s="416"/>
      <c r="EY1180" s="416"/>
      <c r="EZ1180" s="416"/>
      <c r="FA1180" s="416"/>
      <c r="FB1180" s="416"/>
      <c r="FC1180" s="416"/>
      <c r="FD1180" s="416"/>
      <c r="FE1180" s="416"/>
      <c r="FF1180" s="416"/>
      <c r="FG1180" s="416"/>
      <c r="FH1180" s="416"/>
      <c r="FI1180" s="416"/>
      <c r="FJ1180" s="416"/>
      <c r="FK1180" s="416"/>
      <c r="FL1180" s="416"/>
      <c r="FM1180" s="416"/>
      <c r="FN1180" s="416"/>
      <c r="FO1180" s="416"/>
      <c r="FP1180" s="416"/>
      <c r="FQ1180" s="416"/>
      <c r="FR1180" s="416"/>
      <c r="FS1180" s="416"/>
      <c r="FT1180" s="416"/>
      <c r="FU1180" s="416"/>
      <c r="FV1180" s="416"/>
      <c r="FW1180" s="416"/>
      <c r="FX1180" s="416"/>
      <c r="FY1180" s="416"/>
      <c r="FZ1180" s="416"/>
      <c r="GA1180" s="416"/>
      <c r="GB1180" s="416"/>
      <c r="GC1180" s="416"/>
      <c r="GD1180" s="416"/>
      <c r="GE1180" s="416"/>
      <c r="GF1180" s="416"/>
      <c r="GG1180" s="416"/>
      <c r="GH1180" s="416"/>
      <c r="GI1180" s="416"/>
      <c r="GJ1180" s="416"/>
      <c r="GK1180" s="416"/>
      <c r="GL1180" s="416"/>
      <c r="GM1180" s="416"/>
      <c r="GN1180" s="416"/>
      <c r="GO1180" s="416"/>
      <c r="GP1180" s="416"/>
      <c r="GQ1180" s="416"/>
      <c r="GR1180" s="416"/>
      <c r="GS1180" s="416"/>
      <c r="GT1180" s="416"/>
      <c r="GU1180" s="416"/>
      <c r="GV1180" s="416"/>
      <c r="GW1180" s="416"/>
      <c r="GX1180" s="416"/>
      <c r="GY1180" s="416"/>
      <c r="GZ1180" s="416"/>
      <c r="HA1180" s="416"/>
      <c r="HB1180" s="416"/>
      <c r="HC1180" s="416"/>
      <c r="HD1180" s="416"/>
      <c r="HE1180" s="416"/>
      <c r="HF1180" s="416"/>
      <c r="HG1180" s="416"/>
      <c r="HH1180" s="416"/>
      <c r="HI1180" s="416"/>
      <c r="HJ1180" s="416"/>
      <c r="HK1180" s="416"/>
      <c r="HL1180" s="416"/>
      <c r="HM1180" s="416"/>
      <c r="HN1180" s="416"/>
      <c r="HO1180" s="416"/>
      <c r="HP1180" s="416"/>
      <c r="HQ1180" s="416"/>
      <c r="HR1180" s="416"/>
    </row>
    <row r="1181" spans="1:226" s="418" customFormat="1" ht="12.95" customHeight="1">
      <c r="A1181" s="1772"/>
      <c r="B1181" s="1774"/>
      <c r="C1181" s="1804"/>
      <c r="D1181" s="1806"/>
      <c r="E1181" s="1352" t="s">
        <v>475</v>
      </c>
      <c r="F1181" s="1353">
        <f t="shared" si="103"/>
        <v>1500</v>
      </c>
      <c r="G1181" s="1353">
        <v>1500</v>
      </c>
      <c r="H1181" s="1353"/>
      <c r="I1181" s="1353"/>
      <c r="J1181" s="1354"/>
      <c r="K1181" s="416"/>
    </row>
    <row r="1182" spans="1:226" s="418" customFormat="1" ht="12.95" customHeight="1">
      <c r="A1182" s="1772"/>
      <c r="B1182" s="1774"/>
      <c r="C1182" s="1804"/>
      <c r="D1182" s="1806"/>
      <c r="E1182" s="1352" t="s">
        <v>345</v>
      </c>
      <c r="F1182" s="1353">
        <f t="shared" si="103"/>
        <v>45900</v>
      </c>
      <c r="G1182" s="1353"/>
      <c r="H1182" s="1353"/>
      <c r="I1182" s="1353">
        <v>45900</v>
      </c>
      <c r="J1182" s="1354"/>
      <c r="K1182" s="416"/>
    </row>
    <row r="1183" spans="1:226" s="418" customFormat="1" ht="12.95" customHeight="1">
      <c r="A1183" s="1772"/>
      <c r="B1183" s="1774"/>
      <c r="C1183" s="1804"/>
      <c r="D1183" s="1806"/>
      <c r="E1183" s="1352" t="s">
        <v>346</v>
      </c>
      <c r="F1183" s="1353">
        <f t="shared" si="103"/>
        <v>8100</v>
      </c>
      <c r="G1183" s="1353">
        <v>8100</v>
      </c>
      <c r="H1183" s="1353"/>
      <c r="I1183" s="1353"/>
      <c r="J1183" s="1354"/>
      <c r="K1183" s="416"/>
    </row>
    <row r="1184" spans="1:226" s="418" customFormat="1" ht="12.95" customHeight="1">
      <c r="A1184" s="1772"/>
      <c r="B1184" s="1774"/>
      <c r="C1184" s="1804"/>
      <c r="D1184" s="1806"/>
      <c r="E1184" s="1352" t="s">
        <v>378</v>
      </c>
      <c r="F1184" s="1353">
        <f t="shared" si="103"/>
        <v>4250</v>
      </c>
      <c r="G1184" s="1353"/>
      <c r="H1184" s="1353"/>
      <c r="I1184" s="1353">
        <v>4250</v>
      </c>
      <c r="J1184" s="1354"/>
      <c r="K1184" s="416"/>
    </row>
    <row r="1185" spans="1:11" s="418" customFormat="1" ht="12.95" customHeight="1">
      <c r="A1185" s="1772"/>
      <c r="B1185" s="1774"/>
      <c r="C1185" s="1804"/>
      <c r="D1185" s="1806"/>
      <c r="E1185" s="1352" t="s">
        <v>379</v>
      </c>
      <c r="F1185" s="1353">
        <f t="shared" si="103"/>
        <v>750</v>
      </c>
      <c r="G1185" s="1353">
        <v>750</v>
      </c>
      <c r="H1185" s="1353"/>
      <c r="I1185" s="1353"/>
      <c r="J1185" s="1354"/>
      <c r="K1185" s="416"/>
    </row>
    <row r="1186" spans="1:11" s="418" customFormat="1" ht="12.95" customHeight="1">
      <c r="A1186" s="1772"/>
      <c r="B1186" s="1774"/>
      <c r="C1186" s="1804"/>
      <c r="D1186" s="1806"/>
      <c r="E1186" s="1352" t="s">
        <v>347</v>
      </c>
      <c r="F1186" s="1353">
        <f t="shared" si="103"/>
        <v>8160</v>
      </c>
      <c r="G1186" s="1353"/>
      <c r="H1186" s="1353"/>
      <c r="I1186" s="1353">
        <v>8160</v>
      </c>
      <c r="J1186" s="1354"/>
      <c r="K1186" s="416"/>
    </row>
    <row r="1187" spans="1:11" s="418" customFormat="1" ht="12.95" customHeight="1">
      <c r="A1187" s="1772"/>
      <c r="B1187" s="1774"/>
      <c r="C1187" s="1804"/>
      <c r="D1187" s="1806"/>
      <c r="E1187" s="1352" t="s">
        <v>348</v>
      </c>
      <c r="F1187" s="1353">
        <f t="shared" si="103"/>
        <v>1440</v>
      </c>
      <c r="G1187" s="1353">
        <v>1440</v>
      </c>
      <c r="H1187" s="1353"/>
      <c r="I1187" s="1353"/>
      <c r="J1187" s="1354"/>
      <c r="K1187" s="416"/>
    </row>
    <row r="1188" spans="1:11" s="418" customFormat="1" ht="12.95" customHeight="1">
      <c r="A1188" s="1772"/>
      <c r="B1188" s="1774"/>
      <c r="C1188" s="1804"/>
      <c r="D1188" s="1806"/>
      <c r="E1188" s="1352" t="s">
        <v>380</v>
      </c>
      <c r="F1188" s="1353">
        <f t="shared" si="103"/>
        <v>175950</v>
      </c>
      <c r="G1188" s="1353"/>
      <c r="H1188" s="1353"/>
      <c r="I1188" s="1353">
        <v>175950</v>
      </c>
      <c r="J1188" s="1354"/>
      <c r="K1188" s="416"/>
    </row>
    <row r="1189" spans="1:11" s="418" customFormat="1" ht="12.95" customHeight="1">
      <c r="A1189" s="1772"/>
      <c r="B1189" s="1774"/>
      <c r="C1189" s="1804"/>
      <c r="D1189" s="1806"/>
      <c r="E1189" s="1352" t="s">
        <v>381</v>
      </c>
      <c r="F1189" s="1353">
        <f t="shared" si="103"/>
        <v>31050</v>
      </c>
      <c r="G1189" s="1353">
        <v>31050</v>
      </c>
      <c r="H1189" s="1353"/>
      <c r="I1189" s="1353"/>
      <c r="J1189" s="1354"/>
      <c r="K1189" s="416"/>
    </row>
    <row r="1190" spans="1:11" s="418" customFormat="1" ht="12">
      <c r="A1190" s="1772"/>
      <c r="B1190" s="1774"/>
      <c r="C1190" s="1804"/>
      <c r="D1190" s="1806"/>
      <c r="E1190" s="1355" t="s">
        <v>324</v>
      </c>
      <c r="F1190" s="1347">
        <f>SUM(F1191:F1192)</f>
        <v>90000</v>
      </c>
      <c r="G1190" s="1347">
        <f>SUM(G1191:G1192)</f>
        <v>13500</v>
      </c>
      <c r="H1190" s="1347">
        <f>SUM(H1191:H1192)</f>
        <v>0</v>
      </c>
      <c r="I1190" s="1347">
        <f>SUM(I1191:I1192)</f>
        <v>76500</v>
      </c>
      <c r="J1190" s="1348">
        <f>SUM(J1191:J1192)</f>
        <v>0</v>
      </c>
      <c r="K1190" s="416"/>
    </row>
    <row r="1191" spans="1:11" s="418" customFormat="1" ht="12">
      <c r="A1191" s="1772"/>
      <c r="B1191" s="1774"/>
      <c r="C1191" s="1804"/>
      <c r="D1191" s="1806"/>
      <c r="E1191" s="1352" t="s">
        <v>382</v>
      </c>
      <c r="F1191" s="1353">
        <f t="shared" ref="F1191" si="104">SUM(G1191:J1191)</f>
        <v>76500</v>
      </c>
      <c r="G1191" s="1353"/>
      <c r="H1191" s="1353"/>
      <c r="I1191" s="1353">
        <v>76500</v>
      </c>
      <c r="J1191" s="1354"/>
      <c r="K1191" s="416"/>
    </row>
    <row r="1192" spans="1:11" s="418" customFormat="1" thickBot="1">
      <c r="A1192" s="1783"/>
      <c r="B1192" s="1821"/>
      <c r="C1192" s="1823"/>
      <c r="D1192" s="1825"/>
      <c r="E1192" s="1356">
        <v>6069</v>
      </c>
      <c r="F1192" s="1357">
        <f>SUM(G1192:J1192)</f>
        <v>13500</v>
      </c>
      <c r="G1192" s="1357">
        <v>13500</v>
      </c>
      <c r="H1192" s="1357"/>
      <c r="I1192" s="1357"/>
      <c r="J1192" s="1373"/>
      <c r="K1192" s="416"/>
    </row>
    <row r="1193" spans="1:11" s="429" customFormat="1" ht="24.95" customHeight="1" thickBot="1">
      <c r="A1193" s="414" t="s">
        <v>527</v>
      </c>
      <c r="B1193" s="1768" t="s">
        <v>528</v>
      </c>
      <c r="C1193" s="1768"/>
      <c r="D1193" s="1768"/>
      <c r="E1193" s="1768"/>
      <c r="F1193" s="1407">
        <f>F1195+F1208+F1227+F1246</f>
        <v>3075662</v>
      </c>
      <c r="G1193" s="1407">
        <f t="shared" ref="G1193:J1193" si="105">G1195+G1208+G1227+G1246</f>
        <v>268231</v>
      </c>
      <c r="H1193" s="1407">
        <f t="shared" si="105"/>
        <v>2521426</v>
      </c>
      <c r="I1193" s="1407">
        <f t="shared" si="105"/>
        <v>286005</v>
      </c>
      <c r="J1193" s="1408">
        <f t="shared" si="105"/>
        <v>0</v>
      </c>
      <c r="K1193" s="428"/>
    </row>
    <row r="1194" spans="1:11" s="418" customFormat="1">
      <c r="A1194" s="1769"/>
      <c r="B1194" s="1770"/>
      <c r="C1194" s="1770"/>
      <c r="D1194" s="1770"/>
      <c r="E1194" s="1770"/>
      <c r="F1194" s="1770"/>
      <c r="G1194" s="1770"/>
      <c r="H1194" s="1770"/>
      <c r="I1194" s="1770"/>
      <c r="J1194" s="1771"/>
      <c r="K1194" s="416"/>
    </row>
    <row r="1195" spans="1:11" s="418" customFormat="1" ht="24.95" customHeight="1">
      <c r="A1195" s="1772" t="s">
        <v>320</v>
      </c>
      <c r="B1195" s="1774" t="s">
        <v>529</v>
      </c>
      <c r="C1195" s="1804">
        <v>852</v>
      </c>
      <c r="D1195" s="1806" t="s">
        <v>524</v>
      </c>
      <c r="E1195" s="1343" t="s">
        <v>322</v>
      </c>
      <c r="F1195" s="1344">
        <f>SUM(F1196,F1205)</f>
        <v>14954</v>
      </c>
      <c r="G1195" s="1344">
        <f>SUM(G1196,G1205)</f>
        <v>0</v>
      </c>
      <c r="H1195" s="1344">
        <f>SUM(H1196,H1205)</f>
        <v>14954</v>
      </c>
      <c r="I1195" s="1344">
        <f>SUM(I1196,I1205)</f>
        <v>0</v>
      </c>
      <c r="J1195" s="1345">
        <f>SUM(J1196,J1205)</f>
        <v>0</v>
      </c>
      <c r="K1195" s="416"/>
    </row>
    <row r="1196" spans="1:11" s="418" customFormat="1" ht="24.95" customHeight="1">
      <c r="A1196" s="1772"/>
      <c r="B1196" s="1774"/>
      <c r="C1196" s="1804"/>
      <c r="D1196" s="1806"/>
      <c r="E1196" s="1346" t="s">
        <v>334</v>
      </c>
      <c r="F1196" s="1347">
        <f>SUM(F1197,F1201)</f>
        <v>14954</v>
      </c>
      <c r="G1196" s="1347">
        <f>SUM(G1197,G1201)</f>
        <v>0</v>
      </c>
      <c r="H1196" s="1347">
        <f>SUM(H1197,H1201)</f>
        <v>14954</v>
      </c>
      <c r="I1196" s="1347">
        <f>SUM(I1197,I1201)</f>
        <v>0</v>
      </c>
      <c r="J1196" s="1348">
        <f>SUM(J1197,J1201)</f>
        <v>0</v>
      </c>
      <c r="K1196" s="416"/>
    </row>
    <row r="1197" spans="1:11" s="418" customFormat="1" ht="24.95" customHeight="1">
      <c r="A1197" s="1772"/>
      <c r="B1197" s="1774"/>
      <c r="C1197" s="1804"/>
      <c r="D1197" s="1806"/>
      <c r="E1197" s="1349" t="s">
        <v>335</v>
      </c>
      <c r="F1197" s="1350">
        <f>SUM(F1198:F1200)</f>
        <v>14954</v>
      </c>
      <c r="G1197" s="1350">
        <f>SUM(G1198:G1200)</f>
        <v>0</v>
      </c>
      <c r="H1197" s="1350">
        <f>SUM(H1198:H1200)</f>
        <v>14954</v>
      </c>
      <c r="I1197" s="1350">
        <f>SUM(I1198:I1200)</f>
        <v>0</v>
      </c>
      <c r="J1197" s="1351">
        <f>SUM(J1198:J1200)</f>
        <v>0</v>
      </c>
      <c r="K1197" s="416"/>
    </row>
    <row r="1198" spans="1:11" s="418" customFormat="1" ht="15" customHeight="1">
      <c r="A1198" s="1772"/>
      <c r="B1198" s="1774"/>
      <c r="C1198" s="1804"/>
      <c r="D1198" s="1806"/>
      <c r="E1198" s="1352" t="s">
        <v>530</v>
      </c>
      <c r="F1198" s="1353">
        <f t="shared" ref="F1198:F1200" si="106">SUM(G1198:J1198)</f>
        <v>12526</v>
      </c>
      <c r="G1198" s="1353"/>
      <c r="H1198" s="1353">
        <v>12526</v>
      </c>
      <c r="I1198" s="1353"/>
      <c r="J1198" s="1354"/>
      <c r="K1198" s="416"/>
    </row>
    <row r="1199" spans="1:11" s="418" customFormat="1" ht="15" customHeight="1">
      <c r="A1199" s="1772"/>
      <c r="B1199" s="1774"/>
      <c r="C1199" s="1804"/>
      <c r="D1199" s="1806"/>
      <c r="E1199" s="1352" t="s">
        <v>392</v>
      </c>
      <c r="F1199" s="1353">
        <f t="shared" si="106"/>
        <v>2121</v>
      </c>
      <c r="G1199" s="1353"/>
      <c r="H1199" s="1353">
        <v>2121</v>
      </c>
      <c r="I1199" s="1353"/>
      <c r="J1199" s="1354"/>
      <c r="K1199" s="416"/>
    </row>
    <row r="1200" spans="1:11" s="418" customFormat="1" ht="15" customHeight="1">
      <c r="A1200" s="1772"/>
      <c r="B1200" s="1774"/>
      <c r="C1200" s="1804"/>
      <c r="D1200" s="1806"/>
      <c r="E1200" s="1352" t="s">
        <v>393</v>
      </c>
      <c r="F1200" s="1353">
        <f t="shared" si="106"/>
        <v>307</v>
      </c>
      <c r="G1200" s="1353"/>
      <c r="H1200" s="1353">
        <v>307</v>
      </c>
      <c r="I1200" s="1353"/>
      <c r="J1200" s="1354"/>
      <c r="K1200" s="416"/>
    </row>
    <row r="1201" spans="1:11" s="418" customFormat="1" ht="24.95" hidden="1" customHeight="1">
      <c r="A1201" s="1772"/>
      <c r="B1201" s="1774"/>
      <c r="C1201" s="1804"/>
      <c r="D1201" s="1806"/>
      <c r="E1201" s="1349" t="s">
        <v>340</v>
      </c>
      <c r="F1201" s="1350">
        <f>SUM(F1202:F1204)</f>
        <v>0</v>
      </c>
      <c r="G1201" s="1350">
        <f>SUM(G1202:G1204)</f>
        <v>0</v>
      </c>
      <c r="H1201" s="1350">
        <f>SUM(H1202:H1204)</f>
        <v>0</v>
      </c>
      <c r="I1201" s="1350">
        <f>SUM(I1202:I1204)</f>
        <v>0</v>
      </c>
      <c r="J1201" s="1351">
        <f>SUM(J1202:J1204)</f>
        <v>0</v>
      </c>
      <c r="K1201" s="416"/>
    </row>
    <row r="1202" spans="1:11" s="418" customFormat="1" ht="15" hidden="1" customHeight="1">
      <c r="A1202" s="1772"/>
      <c r="B1202" s="1774"/>
      <c r="C1202" s="1804"/>
      <c r="D1202" s="1806"/>
      <c r="E1202" s="1352"/>
      <c r="F1202" s="1353">
        <f t="shared" ref="F1202:F1204" si="107">SUM(G1202:J1202)</f>
        <v>0</v>
      </c>
      <c r="G1202" s="1353"/>
      <c r="H1202" s="1353"/>
      <c r="I1202" s="1353"/>
      <c r="J1202" s="1354"/>
      <c r="K1202" s="416"/>
    </row>
    <row r="1203" spans="1:11" s="418" customFormat="1" ht="15" hidden="1" customHeight="1">
      <c r="A1203" s="1772"/>
      <c r="B1203" s="1774"/>
      <c r="C1203" s="1804"/>
      <c r="D1203" s="1806"/>
      <c r="E1203" s="1352"/>
      <c r="F1203" s="1353">
        <f t="shared" si="107"/>
        <v>0</v>
      </c>
      <c r="G1203" s="1353"/>
      <c r="H1203" s="1353"/>
      <c r="I1203" s="1353"/>
      <c r="J1203" s="1354"/>
      <c r="K1203" s="416"/>
    </row>
    <row r="1204" spans="1:11" s="418" customFormat="1" ht="15" hidden="1" customHeight="1">
      <c r="A1204" s="1772"/>
      <c r="B1204" s="1774"/>
      <c r="C1204" s="1804"/>
      <c r="D1204" s="1806"/>
      <c r="E1204" s="1352"/>
      <c r="F1204" s="1353">
        <f t="shared" si="107"/>
        <v>0</v>
      </c>
      <c r="G1204" s="1353"/>
      <c r="H1204" s="1353"/>
      <c r="I1204" s="1353"/>
      <c r="J1204" s="1354"/>
      <c r="K1204" s="416"/>
    </row>
    <row r="1205" spans="1:11" s="434" customFormat="1" ht="18" customHeight="1" thickBot="1">
      <c r="A1205" s="1772"/>
      <c r="B1205" s="1774"/>
      <c r="C1205" s="1804"/>
      <c r="D1205" s="1806"/>
      <c r="E1205" s="1355" t="s">
        <v>324</v>
      </c>
      <c r="F1205" s="1347">
        <f>SUM(F1206:F1207)</f>
        <v>0</v>
      </c>
      <c r="G1205" s="1347">
        <f>SUM(G1206:G1207)</f>
        <v>0</v>
      </c>
      <c r="H1205" s="1347">
        <f>SUM(H1206:H1207)</f>
        <v>0</v>
      </c>
      <c r="I1205" s="1347">
        <f>SUM(I1206:I1207)</f>
        <v>0</v>
      </c>
      <c r="J1205" s="1348">
        <f>SUM(J1206:J1207)</f>
        <v>0</v>
      </c>
      <c r="K1205" s="433"/>
    </row>
    <row r="1206" spans="1:11" s="434" customFormat="1" ht="15" hidden="1" customHeight="1">
      <c r="A1206" s="1772"/>
      <c r="B1206" s="1774"/>
      <c r="C1206" s="1804"/>
      <c r="D1206" s="1806"/>
      <c r="E1206" s="1352"/>
      <c r="F1206" s="1353">
        <f>SUM(G1206:J1206)</f>
        <v>0</v>
      </c>
      <c r="G1206" s="1353"/>
      <c r="H1206" s="1353"/>
      <c r="I1206" s="1353"/>
      <c r="J1206" s="1354"/>
      <c r="K1206" s="433"/>
    </row>
    <row r="1207" spans="1:11" s="366" customFormat="1" ht="15" hidden="1" customHeight="1">
      <c r="A1207" s="1773"/>
      <c r="B1207" s="1775"/>
      <c r="C1207" s="1805"/>
      <c r="D1207" s="1807"/>
      <c r="E1207" s="1358"/>
      <c r="F1207" s="1359">
        <f>SUM(G1207:J1207)</f>
        <v>0</v>
      </c>
      <c r="G1207" s="1359"/>
      <c r="H1207" s="1359"/>
      <c r="I1207" s="1359"/>
      <c r="J1207" s="1360"/>
      <c r="K1207" s="365"/>
    </row>
    <row r="1208" spans="1:11" s="418" customFormat="1" ht="24.95" customHeight="1">
      <c r="A1208" s="1782" t="s">
        <v>327</v>
      </c>
      <c r="B1208" s="1833" t="s">
        <v>531</v>
      </c>
      <c r="C1208" s="1822">
        <v>852</v>
      </c>
      <c r="D1208" s="1824" t="s">
        <v>524</v>
      </c>
      <c r="E1208" s="1361" t="s">
        <v>322</v>
      </c>
      <c r="F1208" s="1362">
        <f>SUM(F1209,F1224)</f>
        <v>720000</v>
      </c>
      <c r="G1208" s="1362">
        <f>SUM(G1209,G1224)</f>
        <v>108000</v>
      </c>
      <c r="H1208" s="1362">
        <f>SUM(H1209,H1224)</f>
        <v>612000</v>
      </c>
      <c r="I1208" s="1362">
        <f>SUM(I1209,I1224)</f>
        <v>0</v>
      </c>
      <c r="J1208" s="1363">
        <f>SUM(J1209,J1224)</f>
        <v>0</v>
      </c>
      <c r="K1208" s="416"/>
    </row>
    <row r="1209" spans="1:11" s="418" customFormat="1" ht="24.95" customHeight="1">
      <c r="A1209" s="1772"/>
      <c r="B1209" s="1774"/>
      <c r="C1209" s="1804"/>
      <c r="D1209" s="1806"/>
      <c r="E1209" s="1346" t="s">
        <v>334</v>
      </c>
      <c r="F1209" s="1347">
        <f>SUM(F1210,F1219)</f>
        <v>720000</v>
      </c>
      <c r="G1209" s="1347">
        <f>SUM(G1210,G1219)</f>
        <v>108000</v>
      </c>
      <c r="H1209" s="1347">
        <f>SUM(H1210,H1219)</f>
        <v>612000</v>
      </c>
      <c r="I1209" s="1347">
        <f>SUM(I1210,I1219)</f>
        <v>0</v>
      </c>
      <c r="J1209" s="1348">
        <f>SUM(J1210,J1219)</f>
        <v>0</v>
      </c>
      <c r="K1209" s="416"/>
    </row>
    <row r="1210" spans="1:11" s="418" customFormat="1" ht="24.95" customHeight="1">
      <c r="A1210" s="1772"/>
      <c r="B1210" s="1774"/>
      <c r="C1210" s="1804"/>
      <c r="D1210" s="1806"/>
      <c r="E1210" s="1349" t="s">
        <v>335</v>
      </c>
      <c r="F1210" s="1350">
        <f>SUM(F1211:F1218)</f>
        <v>315418</v>
      </c>
      <c r="G1210" s="1350">
        <f>SUM(G1211:G1218)</f>
        <v>102380</v>
      </c>
      <c r="H1210" s="1350">
        <f>SUM(H1211:H1218)</f>
        <v>213038</v>
      </c>
      <c r="I1210" s="1350">
        <f>SUM(I1211:I1218)</f>
        <v>0</v>
      </c>
      <c r="J1210" s="1351">
        <f>SUM(J1211:J1218)</f>
        <v>0</v>
      </c>
      <c r="K1210" s="416"/>
    </row>
    <row r="1211" spans="1:11" s="418" customFormat="1" ht="15" customHeight="1">
      <c r="A1211" s="1772"/>
      <c r="B1211" s="1774"/>
      <c r="C1211" s="1804"/>
      <c r="D1211" s="1806"/>
      <c r="E1211" s="1352" t="s">
        <v>391</v>
      </c>
      <c r="F1211" s="1353">
        <f t="shared" ref="F1211:F1218" si="108">SUM(G1211:J1211)</f>
        <v>178454</v>
      </c>
      <c r="G1211" s="1353"/>
      <c r="H1211" s="1353">
        <v>178454</v>
      </c>
      <c r="I1211" s="1353"/>
      <c r="J1211" s="1354"/>
      <c r="K1211" s="416"/>
    </row>
    <row r="1212" spans="1:11" s="418" customFormat="1" ht="15" customHeight="1">
      <c r="A1212" s="1772"/>
      <c r="B1212" s="1774"/>
      <c r="C1212" s="1804"/>
      <c r="D1212" s="1806"/>
      <c r="E1212" s="1352" t="s">
        <v>363</v>
      </c>
      <c r="F1212" s="1353">
        <f t="shared" si="108"/>
        <v>85760</v>
      </c>
      <c r="G1212" s="1353">
        <v>85760</v>
      </c>
      <c r="H1212" s="1353"/>
      <c r="I1212" s="1353"/>
      <c r="J1212" s="1354"/>
      <c r="K1212" s="416"/>
    </row>
    <row r="1213" spans="1:11" s="418" customFormat="1" ht="15" customHeight="1">
      <c r="A1213" s="1772"/>
      <c r="B1213" s="1774"/>
      <c r="C1213" s="1804"/>
      <c r="D1213" s="1806"/>
      <c r="E1213" s="1352" t="s">
        <v>392</v>
      </c>
      <c r="F1213" s="1353">
        <f t="shared" si="108"/>
        <v>30212</v>
      </c>
      <c r="G1213" s="1353"/>
      <c r="H1213" s="1353">
        <v>30212</v>
      </c>
      <c r="I1213" s="1353"/>
      <c r="J1213" s="1354"/>
      <c r="K1213" s="416"/>
    </row>
    <row r="1214" spans="1:11" s="418" customFormat="1" ht="15" customHeight="1">
      <c r="A1214" s="1772"/>
      <c r="B1214" s="1774"/>
      <c r="C1214" s="1804"/>
      <c r="D1214" s="1806"/>
      <c r="E1214" s="1352" t="s">
        <v>337</v>
      </c>
      <c r="F1214" s="1353">
        <f t="shared" si="108"/>
        <v>14519</v>
      </c>
      <c r="G1214" s="1353">
        <v>14519</v>
      </c>
      <c r="H1214" s="1353"/>
      <c r="I1214" s="1353"/>
      <c r="J1214" s="1354"/>
      <c r="K1214" s="416"/>
    </row>
    <row r="1215" spans="1:11" s="418" customFormat="1" ht="15" customHeight="1">
      <c r="A1215" s="1772"/>
      <c r="B1215" s="1774"/>
      <c r="C1215" s="1804"/>
      <c r="D1215" s="1806"/>
      <c r="E1215" s="1352" t="s">
        <v>393</v>
      </c>
      <c r="F1215" s="1353">
        <f t="shared" si="108"/>
        <v>4372</v>
      </c>
      <c r="G1215" s="1353"/>
      <c r="H1215" s="1353">
        <v>4372</v>
      </c>
      <c r="I1215" s="1353"/>
      <c r="J1215" s="1354"/>
      <c r="K1215" s="416"/>
    </row>
    <row r="1216" spans="1:11" s="418" customFormat="1" ht="15" customHeight="1">
      <c r="A1216" s="1772"/>
      <c r="B1216" s="1774"/>
      <c r="C1216" s="1804"/>
      <c r="D1216" s="1806"/>
      <c r="E1216" s="1352" t="s">
        <v>367</v>
      </c>
      <c r="F1216" s="1353">
        <f t="shared" si="108"/>
        <v>2101</v>
      </c>
      <c r="G1216" s="1353">
        <v>2101</v>
      </c>
      <c r="H1216" s="1353"/>
      <c r="I1216" s="1353"/>
      <c r="J1216" s="1354"/>
      <c r="K1216" s="416"/>
    </row>
    <row r="1217" spans="1:226" s="418" customFormat="1" ht="15" hidden="1" customHeight="1">
      <c r="A1217" s="1772"/>
      <c r="B1217" s="1774"/>
      <c r="C1217" s="1804"/>
      <c r="D1217" s="1806"/>
      <c r="E1217" s="1352" t="s">
        <v>410</v>
      </c>
      <c r="F1217" s="1353">
        <f t="shared" si="108"/>
        <v>0</v>
      </c>
      <c r="G1217" s="1353"/>
      <c r="H1217" s="1353"/>
      <c r="I1217" s="1353"/>
      <c r="J1217" s="1354"/>
      <c r="K1217" s="416"/>
      <c r="L1217" s="416"/>
      <c r="M1217" s="416"/>
      <c r="N1217" s="416"/>
      <c r="O1217" s="416"/>
      <c r="P1217" s="416"/>
      <c r="Q1217" s="416"/>
      <c r="R1217" s="416"/>
      <c r="S1217" s="416"/>
      <c r="T1217" s="416"/>
      <c r="U1217" s="416"/>
      <c r="V1217" s="416"/>
      <c r="W1217" s="416"/>
      <c r="X1217" s="416"/>
      <c r="Y1217" s="416"/>
      <c r="Z1217" s="416"/>
      <c r="AA1217" s="416"/>
      <c r="AB1217" s="416"/>
      <c r="AC1217" s="416"/>
      <c r="AD1217" s="416"/>
      <c r="AE1217" s="416"/>
      <c r="AF1217" s="416"/>
      <c r="AG1217" s="416"/>
      <c r="AH1217" s="416"/>
      <c r="AI1217" s="416"/>
      <c r="AJ1217" s="416"/>
      <c r="AK1217" s="416"/>
      <c r="AL1217" s="416"/>
      <c r="AM1217" s="416"/>
      <c r="AN1217" s="416"/>
      <c r="AO1217" s="416"/>
      <c r="AP1217" s="416"/>
      <c r="AQ1217" s="416"/>
      <c r="AR1217" s="416"/>
      <c r="AS1217" s="416"/>
      <c r="AT1217" s="416"/>
      <c r="AU1217" s="416"/>
      <c r="AV1217" s="416"/>
      <c r="AW1217" s="416"/>
      <c r="AX1217" s="416"/>
      <c r="AY1217" s="416"/>
      <c r="AZ1217" s="416"/>
      <c r="BA1217" s="416"/>
      <c r="BB1217" s="416"/>
      <c r="BC1217" s="416"/>
      <c r="BD1217" s="416"/>
      <c r="BE1217" s="416"/>
      <c r="BF1217" s="416"/>
      <c r="BG1217" s="416"/>
      <c r="BH1217" s="416"/>
      <c r="BI1217" s="416"/>
      <c r="BJ1217" s="416"/>
      <c r="BK1217" s="416"/>
      <c r="BL1217" s="416"/>
      <c r="BM1217" s="416"/>
      <c r="BN1217" s="416"/>
      <c r="BO1217" s="416"/>
      <c r="BP1217" s="416"/>
      <c r="BQ1217" s="416"/>
      <c r="BR1217" s="416"/>
      <c r="BS1217" s="416"/>
      <c r="BT1217" s="416"/>
      <c r="BU1217" s="416"/>
      <c r="BV1217" s="416"/>
      <c r="BW1217" s="416"/>
      <c r="BX1217" s="416"/>
      <c r="BY1217" s="416"/>
      <c r="BZ1217" s="416"/>
      <c r="CA1217" s="416"/>
      <c r="CB1217" s="416"/>
      <c r="CC1217" s="416"/>
      <c r="CD1217" s="416"/>
      <c r="CE1217" s="416"/>
      <c r="CF1217" s="416"/>
      <c r="CG1217" s="416"/>
      <c r="CH1217" s="416"/>
      <c r="CI1217" s="416"/>
      <c r="CJ1217" s="416"/>
      <c r="CK1217" s="416"/>
      <c r="CL1217" s="416"/>
      <c r="CM1217" s="416"/>
      <c r="CN1217" s="416"/>
      <c r="CO1217" s="416"/>
      <c r="CP1217" s="416"/>
      <c r="CQ1217" s="416"/>
      <c r="CR1217" s="416"/>
      <c r="CS1217" s="416"/>
      <c r="CT1217" s="416"/>
      <c r="CU1217" s="416"/>
      <c r="CV1217" s="416"/>
      <c r="CW1217" s="416"/>
      <c r="CX1217" s="416"/>
      <c r="CY1217" s="416"/>
      <c r="CZ1217" s="416"/>
      <c r="DA1217" s="416"/>
      <c r="DB1217" s="416"/>
      <c r="DC1217" s="416"/>
      <c r="DD1217" s="416"/>
      <c r="DE1217" s="416"/>
      <c r="DF1217" s="416"/>
      <c r="DG1217" s="416"/>
      <c r="DH1217" s="416"/>
      <c r="DI1217" s="416"/>
      <c r="DJ1217" s="416"/>
      <c r="DK1217" s="416"/>
      <c r="DL1217" s="416"/>
      <c r="DM1217" s="416"/>
      <c r="DN1217" s="416"/>
      <c r="DO1217" s="416"/>
      <c r="DP1217" s="416"/>
      <c r="DQ1217" s="416"/>
      <c r="DR1217" s="416"/>
      <c r="DS1217" s="416"/>
      <c r="DT1217" s="416"/>
      <c r="DU1217" s="416"/>
      <c r="DV1217" s="416"/>
      <c r="DW1217" s="416"/>
      <c r="DX1217" s="416"/>
      <c r="DY1217" s="416"/>
      <c r="DZ1217" s="416"/>
      <c r="EA1217" s="416"/>
      <c r="EB1217" s="416"/>
      <c r="EC1217" s="416"/>
      <c r="ED1217" s="416"/>
      <c r="EE1217" s="416"/>
      <c r="EF1217" s="416"/>
      <c r="EG1217" s="416"/>
      <c r="EH1217" s="416"/>
      <c r="EI1217" s="416"/>
      <c r="EJ1217" s="416"/>
      <c r="EK1217" s="416"/>
      <c r="EL1217" s="416"/>
      <c r="EM1217" s="416"/>
      <c r="EN1217" s="416"/>
      <c r="EO1217" s="416"/>
      <c r="EP1217" s="416"/>
      <c r="EQ1217" s="416"/>
      <c r="ER1217" s="416"/>
      <c r="ES1217" s="416"/>
      <c r="ET1217" s="416"/>
      <c r="EU1217" s="416"/>
      <c r="EV1217" s="416"/>
      <c r="EW1217" s="416"/>
      <c r="EX1217" s="416"/>
      <c r="EY1217" s="416"/>
      <c r="EZ1217" s="416"/>
      <c r="FA1217" s="416"/>
      <c r="FB1217" s="416"/>
      <c r="FC1217" s="416"/>
      <c r="FD1217" s="416"/>
      <c r="FE1217" s="416"/>
      <c r="FF1217" s="416"/>
      <c r="FG1217" s="416"/>
      <c r="FH1217" s="416"/>
      <c r="FI1217" s="416"/>
      <c r="FJ1217" s="416"/>
      <c r="FK1217" s="416"/>
      <c r="FL1217" s="416"/>
      <c r="FM1217" s="416"/>
      <c r="FN1217" s="416"/>
      <c r="FO1217" s="416"/>
      <c r="FP1217" s="416"/>
      <c r="FQ1217" s="416"/>
      <c r="FR1217" s="416"/>
      <c r="FS1217" s="416"/>
      <c r="FT1217" s="416"/>
      <c r="FU1217" s="416"/>
      <c r="FV1217" s="416"/>
      <c r="FW1217" s="416"/>
      <c r="FX1217" s="416"/>
      <c r="FY1217" s="416"/>
      <c r="FZ1217" s="416"/>
      <c r="GA1217" s="416"/>
      <c r="GB1217" s="416"/>
      <c r="GC1217" s="416"/>
      <c r="GD1217" s="416"/>
      <c r="GE1217" s="416"/>
      <c r="GF1217" s="416"/>
      <c r="GG1217" s="416"/>
      <c r="GH1217" s="416"/>
      <c r="GI1217" s="416"/>
      <c r="GJ1217" s="416"/>
      <c r="GK1217" s="416"/>
      <c r="GL1217" s="416"/>
      <c r="GM1217" s="416"/>
      <c r="GN1217" s="416"/>
      <c r="GO1217" s="416"/>
      <c r="GP1217" s="416"/>
      <c r="GQ1217" s="416"/>
      <c r="GR1217" s="416"/>
      <c r="GS1217" s="416"/>
      <c r="GT1217" s="416"/>
      <c r="GU1217" s="416"/>
      <c r="GV1217" s="416"/>
      <c r="GW1217" s="416"/>
      <c r="GX1217" s="416"/>
      <c r="GY1217" s="416"/>
      <c r="GZ1217" s="416"/>
      <c r="HA1217" s="416"/>
      <c r="HB1217" s="416"/>
      <c r="HC1217" s="416"/>
      <c r="HD1217" s="416"/>
      <c r="HE1217" s="416"/>
      <c r="HF1217" s="416"/>
      <c r="HG1217" s="416"/>
      <c r="HH1217" s="416"/>
      <c r="HI1217" s="416"/>
      <c r="HJ1217" s="416"/>
      <c r="HK1217" s="416"/>
      <c r="HL1217" s="416"/>
      <c r="HM1217" s="416"/>
      <c r="HN1217" s="416"/>
      <c r="HO1217" s="416"/>
      <c r="HP1217" s="416"/>
      <c r="HQ1217" s="416"/>
      <c r="HR1217" s="416"/>
    </row>
    <row r="1218" spans="1:226" s="418" customFormat="1" ht="15" hidden="1" customHeight="1">
      <c r="A1218" s="1772"/>
      <c r="B1218" s="1774"/>
      <c r="C1218" s="1804"/>
      <c r="D1218" s="1806"/>
      <c r="E1218" s="1352" t="s">
        <v>339</v>
      </c>
      <c r="F1218" s="1353">
        <f t="shared" si="108"/>
        <v>0</v>
      </c>
      <c r="G1218" s="1353"/>
      <c r="H1218" s="1353"/>
      <c r="I1218" s="1353"/>
      <c r="J1218" s="1354"/>
      <c r="K1218" s="416"/>
    </row>
    <row r="1219" spans="1:226" s="418" customFormat="1" ht="24.95" customHeight="1">
      <c r="A1219" s="1772"/>
      <c r="B1219" s="1774"/>
      <c r="C1219" s="1804"/>
      <c r="D1219" s="1806"/>
      <c r="E1219" s="1349" t="s">
        <v>340</v>
      </c>
      <c r="F1219" s="1350">
        <f>SUM(F1220:F1223)</f>
        <v>404582</v>
      </c>
      <c r="G1219" s="1350">
        <f>SUM(G1220:G1223)</f>
        <v>5620</v>
      </c>
      <c r="H1219" s="1350">
        <f>SUM(H1220:H1223)</f>
        <v>398962</v>
      </c>
      <c r="I1219" s="1350">
        <f>SUM(I1220:I1223)</f>
        <v>0</v>
      </c>
      <c r="J1219" s="1351">
        <f>SUM(J1220:J1223)</f>
        <v>0</v>
      </c>
      <c r="K1219" s="416"/>
    </row>
    <row r="1220" spans="1:226" s="418" customFormat="1" ht="15" hidden="1" customHeight="1">
      <c r="A1220" s="1772"/>
      <c r="B1220" s="1774"/>
      <c r="C1220" s="1804"/>
      <c r="D1220" s="1806"/>
      <c r="E1220" s="1352"/>
      <c r="F1220" s="1353">
        <f t="shared" ref="F1220:F1223" si="109">SUM(G1220:J1220)</f>
        <v>0</v>
      </c>
      <c r="G1220" s="1353"/>
      <c r="H1220" s="1353"/>
      <c r="I1220" s="1353"/>
      <c r="J1220" s="1354"/>
      <c r="K1220" s="416"/>
    </row>
    <row r="1221" spans="1:226" s="418" customFormat="1" ht="15" customHeight="1">
      <c r="A1221" s="1772"/>
      <c r="B1221" s="1774"/>
      <c r="C1221" s="1804"/>
      <c r="D1221" s="1806"/>
      <c r="E1221" s="1352" t="s">
        <v>394</v>
      </c>
      <c r="F1221" s="1353">
        <f t="shared" si="109"/>
        <v>398962</v>
      </c>
      <c r="G1221" s="1353"/>
      <c r="H1221" s="1353">
        <v>398962</v>
      </c>
      <c r="I1221" s="1353"/>
      <c r="J1221" s="1354"/>
      <c r="K1221" s="416"/>
    </row>
    <row r="1222" spans="1:226" s="418" customFormat="1" ht="15" customHeight="1">
      <c r="A1222" s="1772"/>
      <c r="B1222" s="1774"/>
      <c r="C1222" s="1804"/>
      <c r="D1222" s="1806"/>
      <c r="E1222" s="1352" t="s">
        <v>344</v>
      </c>
      <c r="F1222" s="1353">
        <f t="shared" si="109"/>
        <v>5620</v>
      </c>
      <c r="G1222" s="1353">
        <v>5620</v>
      </c>
      <c r="H1222" s="1353"/>
      <c r="I1222" s="1353"/>
      <c r="J1222" s="1354"/>
      <c r="K1222" s="416"/>
    </row>
    <row r="1223" spans="1:226" s="434" customFormat="1" ht="15" hidden="1" customHeight="1">
      <c r="A1223" s="1772"/>
      <c r="B1223" s="1774"/>
      <c r="C1223" s="1804"/>
      <c r="D1223" s="1806"/>
      <c r="E1223" s="1352"/>
      <c r="F1223" s="1353">
        <f t="shared" si="109"/>
        <v>0</v>
      </c>
      <c r="G1223" s="1353"/>
      <c r="H1223" s="1353"/>
      <c r="I1223" s="1353"/>
      <c r="J1223" s="1354"/>
      <c r="K1223" s="433"/>
    </row>
    <row r="1224" spans="1:226" s="434" customFormat="1" ht="18" customHeight="1">
      <c r="A1224" s="1772"/>
      <c r="B1224" s="1774"/>
      <c r="C1224" s="1804"/>
      <c r="D1224" s="1806"/>
      <c r="E1224" s="1355" t="s">
        <v>324</v>
      </c>
      <c r="F1224" s="1347">
        <f>SUM(F1225:F1226)</f>
        <v>0</v>
      </c>
      <c r="G1224" s="1347">
        <f>SUM(G1225:G1226)</f>
        <v>0</v>
      </c>
      <c r="H1224" s="1347">
        <f>SUM(H1225:H1226)</f>
        <v>0</v>
      </c>
      <c r="I1224" s="1347">
        <f>SUM(I1225:I1226)</f>
        <v>0</v>
      </c>
      <c r="J1224" s="1348">
        <f>SUM(J1225:J1226)</f>
        <v>0</v>
      </c>
      <c r="K1224" s="433"/>
    </row>
    <row r="1225" spans="1:226" s="434" customFormat="1" ht="15" hidden="1" customHeight="1">
      <c r="A1225" s="1772"/>
      <c r="B1225" s="1774"/>
      <c r="C1225" s="1804"/>
      <c r="D1225" s="1806"/>
      <c r="E1225" s="1352"/>
      <c r="F1225" s="1353">
        <f>SUM(G1225:J1225)</f>
        <v>0</v>
      </c>
      <c r="G1225" s="1353"/>
      <c r="H1225" s="1353"/>
      <c r="I1225" s="1353"/>
      <c r="J1225" s="1354"/>
      <c r="K1225" s="433"/>
    </row>
    <row r="1226" spans="1:226" s="366" customFormat="1" ht="15" hidden="1" customHeight="1">
      <c r="A1226" s="1783"/>
      <c r="B1226" s="1821"/>
      <c r="C1226" s="1823"/>
      <c r="D1226" s="1825"/>
      <c r="E1226" s="1356"/>
      <c r="F1226" s="1357">
        <f>SUM(G1226:J1226)</f>
        <v>0</v>
      </c>
      <c r="G1226" s="1357"/>
      <c r="H1226" s="1357"/>
      <c r="I1226" s="1357"/>
      <c r="J1226" s="1373"/>
      <c r="K1226" s="365"/>
    </row>
    <row r="1227" spans="1:226" s="418" customFormat="1" ht="24.95" customHeight="1">
      <c r="A1227" s="1829" t="s">
        <v>331</v>
      </c>
      <c r="B1227" s="1830" t="s">
        <v>532</v>
      </c>
      <c r="C1227" s="1831">
        <v>855</v>
      </c>
      <c r="D1227" s="1832" t="s">
        <v>175</v>
      </c>
      <c r="E1227" s="1340" t="s">
        <v>322</v>
      </c>
      <c r="F1227" s="1341">
        <f>SUM(F1228,F1243)</f>
        <v>2208646</v>
      </c>
      <c r="G1227" s="1341">
        <f>SUM(G1228,G1243)</f>
        <v>28169</v>
      </c>
      <c r="H1227" s="1341">
        <f>SUM(H1228,H1243)</f>
        <v>1894472</v>
      </c>
      <c r="I1227" s="1341">
        <f>SUM(I1228,I1243)</f>
        <v>286005</v>
      </c>
      <c r="J1227" s="1342">
        <f>SUM(J1228,J1243)</f>
        <v>0</v>
      </c>
      <c r="K1227" s="416"/>
    </row>
    <row r="1228" spans="1:226" s="418" customFormat="1" ht="24.95" customHeight="1">
      <c r="A1228" s="1772"/>
      <c r="B1228" s="1774"/>
      <c r="C1228" s="1804"/>
      <c r="D1228" s="1806"/>
      <c r="E1228" s="1346" t="s">
        <v>334</v>
      </c>
      <c r="F1228" s="1347">
        <f>SUM(F1229,F1231,F1240)</f>
        <v>2208646</v>
      </c>
      <c r="G1228" s="1347">
        <f>SUM(G1229,G1231,G1240)</f>
        <v>28169</v>
      </c>
      <c r="H1228" s="1347">
        <f>SUM(H1229,H1231,H1240)</f>
        <v>1894472</v>
      </c>
      <c r="I1228" s="1347">
        <f>SUM(I1229,I1231,I1240)</f>
        <v>286005</v>
      </c>
      <c r="J1228" s="1348">
        <f>SUM(J1229,J1231,J1240)</f>
        <v>0</v>
      </c>
      <c r="K1228" s="416"/>
    </row>
    <row r="1229" spans="1:226" s="418" customFormat="1" ht="12">
      <c r="A1229" s="1772"/>
      <c r="B1229" s="1774"/>
      <c r="C1229" s="1804"/>
      <c r="D1229" s="1806"/>
      <c r="E1229" s="1349" t="s">
        <v>389</v>
      </c>
      <c r="F1229" s="1350">
        <f>SUM(F1230)</f>
        <v>1270121</v>
      </c>
      <c r="G1229" s="1350">
        <f t="shared" ref="G1229:J1229" si="110">SUM(G1230)</f>
        <v>0</v>
      </c>
      <c r="H1229" s="1350">
        <f t="shared" si="110"/>
        <v>1270121</v>
      </c>
      <c r="I1229" s="1350">
        <f t="shared" si="110"/>
        <v>0</v>
      </c>
      <c r="J1229" s="1351">
        <f t="shared" si="110"/>
        <v>0</v>
      </c>
      <c r="K1229" s="416"/>
    </row>
    <row r="1230" spans="1:226" s="418" customFormat="1" ht="15" customHeight="1">
      <c r="A1230" s="1772"/>
      <c r="B1230" s="1774"/>
      <c r="C1230" s="1804"/>
      <c r="D1230" s="1806"/>
      <c r="E1230" s="1352" t="s">
        <v>404</v>
      </c>
      <c r="F1230" s="1353">
        <f>SUM(G1230:J1230)</f>
        <v>1270121</v>
      </c>
      <c r="G1230" s="1353"/>
      <c r="H1230" s="1353">
        <v>1270121</v>
      </c>
      <c r="I1230" s="1353"/>
      <c r="J1230" s="1354"/>
      <c r="K1230" s="416"/>
    </row>
    <row r="1231" spans="1:226" s="418" customFormat="1" ht="22.5">
      <c r="A1231" s="1772"/>
      <c r="B1231" s="1774"/>
      <c r="C1231" s="1804"/>
      <c r="D1231" s="1806"/>
      <c r="E1231" s="1349" t="s">
        <v>335</v>
      </c>
      <c r="F1231" s="1350">
        <f>SUM(F1232:F1239)</f>
        <v>242433</v>
      </c>
      <c r="G1231" s="1350">
        <f>SUM(G1232:G1239)</f>
        <v>27836</v>
      </c>
      <c r="H1231" s="1350">
        <f>SUM(H1232:H1239)</f>
        <v>214597</v>
      </c>
      <c r="I1231" s="1350">
        <f>SUM(I1232:I1239)</f>
        <v>0</v>
      </c>
      <c r="J1231" s="1351">
        <f>SUM(J1232:J1239)</f>
        <v>0</v>
      </c>
      <c r="K1231" s="416"/>
    </row>
    <row r="1232" spans="1:226" s="418" customFormat="1" ht="15" customHeight="1">
      <c r="A1232" s="1772"/>
      <c r="B1232" s="1774"/>
      <c r="C1232" s="1804"/>
      <c r="D1232" s="1806"/>
      <c r="E1232" s="1352" t="s">
        <v>391</v>
      </c>
      <c r="F1232" s="1353">
        <f t="shared" ref="F1232:F1239" si="111">SUM(G1232:J1232)</f>
        <v>179758</v>
      </c>
      <c r="G1232" s="1353"/>
      <c r="H1232" s="1353">
        <v>179758</v>
      </c>
      <c r="I1232" s="1353"/>
      <c r="J1232" s="1354"/>
      <c r="K1232" s="416"/>
    </row>
    <row r="1233" spans="1:226" s="418" customFormat="1" ht="15" customHeight="1">
      <c r="A1233" s="1772"/>
      <c r="B1233" s="1774"/>
      <c r="C1233" s="1804"/>
      <c r="D1233" s="1806"/>
      <c r="E1233" s="1352" t="s">
        <v>363</v>
      </c>
      <c r="F1233" s="1353">
        <f t="shared" si="111"/>
        <v>23317</v>
      </c>
      <c r="G1233" s="1353">
        <v>23317</v>
      </c>
      <c r="H1233" s="1353"/>
      <c r="I1233" s="1353"/>
      <c r="J1233" s="1354"/>
      <c r="K1233" s="416"/>
    </row>
    <row r="1234" spans="1:226" s="418" customFormat="1" ht="15" customHeight="1">
      <c r="A1234" s="1772"/>
      <c r="B1234" s="1774"/>
      <c r="C1234" s="1804"/>
      <c r="D1234" s="1806"/>
      <c r="E1234" s="1352" t="s">
        <v>392</v>
      </c>
      <c r="F1234" s="1353">
        <f t="shared" si="111"/>
        <v>30434</v>
      </c>
      <c r="G1234" s="1353"/>
      <c r="H1234" s="1353">
        <v>30434</v>
      </c>
      <c r="I1234" s="1353"/>
      <c r="J1234" s="1354"/>
      <c r="K1234" s="417"/>
    </row>
    <row r="1235" spans="1:226" s="418" customFormat="1" ht="15" customHeight="1">
      <c r="A1235" s="1772"/>
      <c r="B1235" s="1774"/>
      <c r="C1235" s="1804"/>
      <c r="D1235" s="1806"/>
      <c r="E1235" s="1352" t="s">
        <v>337</v>
      </c>
      <c r="F1235" s="1353">
        <f t="shared" si="111"/>
        <v>3948</v>
      </c>
      <c r="G1235" s="1353">
        <v>3948</v>
      </c>
      <c r="H1235" s="1353"/>
      <c r="I1235" s="1353"/>
      <c r="J1235" s="1354"/>
      <c r="K1235" s="416"/>
    </row>
    <row r="1236" spans="1:226" s="418" customFormat="1" ht="15" customHeight="1">
      <c r="A1236" s="1772"/>
      <c r="B1236" s="1774"/>
      <c r="C1236" s="1804"/>
      <c r="D1236" s="1806"/>
      <c r="E1236" s="1352" t="s">
        <v>393</v>
      </c>
      <c r="F1236" s="1353">
        <f t="shared" si="111"/>
        <v>4405</v>
      </c>
      <c r="G1236" s="1353"/>
      <c r="H1236" s="1353">
        <v>4405</v>
      </c>
      <c r="I1236" s="1353"/>
      <c r="J1236" s="1354"/>
      <c r="K1236" s="416"/>
    </row>
    <row r="1237" spans="1:226" s="418" customFormat="1" ht="15" customHeight="1">
      <c r="A1237" s="1772"/>
      <c r="B1237" s="1774"/>
      <c r="C1237" s="1804"/>
      <c r="D1237" s="1806"/>
      <c r="E1237" s="1352" t="s">
        <v>367</v>
      </c>
      <c r="F1237" s="1353">
        <f t="shared" si="111"/>
        <v>571</v>
      </c>
      <c r="G1237" s="1353">
        <v>571</v>
      </c>
      <c r="H1237" s="1353"/>
      <c r="I1237" s="1353"/>
      <c r="J1237" s="1354"/>
      <c r="K1237" s="416"/>
    </row>
    <row r="1238" spans="1:226" s="418" customFormat="1" ht="15" hidden="1" customHeight="1">
      <c r="A1238" s="1772"/>
      <c r="B1238" s="1774"/>
      <c r="C1238" s="1804"/>
      <c r="D1238" s="1806"/>
      <c r="E1238" s="1352" t="s">
        <v>410</v>
      </c>
      <c r="F1238" s="1353">
        <f t="shared" si="111"/>
        <v>0</v>
      </c>
      <c r="G1238" s="1353"/>
      <c r="H1238" s="1353"/>
      <c r="I1238" s="1353"/>
      <c r="J1238" s="1354"/>
      <c r="K1238" s="416"/>
      <c r="L1238" s="416"/>
      <c r="M1238" s="416"/>
      <c r="N1238" s="416"/>
      <c r="O1238" s="416"/>
      <c r="P1238" s="416"/>
      <c r="Q1238" s="416"/>
      <c r="R1238" s="416"/>
      <c r="S1238" s="416"/>
      <c r="T1238" s="416"/>
      <c r="U1238" s="416"/>
      <c r="V1238" s="416"/>
      <c r="W1238" s="416"/>
      <c r="X1238" s="416"/>
      <c r="Y1238" s="416"/>
      <c r="Z1238" s="416"/>
      <c r="AA1238" s="416"/>
      <c r="AB1238" s="416"/>
      <c r="AC1238" s="416"/>
      <c r="AD1238" s="416"/>
      <c r="AE1238" s="416"/>
      <c r="AF1238" s="416"/>
      <c r="AG1238" s="416"/>
      <c r="AH1238" s="416"/>
      <c r="AI1238" s="416"/>
      <c r="AJ1238" s="416"/>
      <c r="AK1238" s="416"/>
      <c r="AL1238" s="416"/>
      <c r="AM1238" s="416"/>
      <c r="AN1238" s="416"/>
      <c r="AO1238" s="416"/>
      <c r="AP1238" s="416"/>
      <c r="AQ1238" s="416"/>
      <c r="AR1238" s="416"/>
      <c r="AS1238" s="416"/>
      <c r="AT1238" s="416"/>
      <c r="AU1238" s="416"/>
      <c r="AV1238" s="416"/>
      <c r="AW1238" s="416"/>
      <c r="AX1238" s="416"/>
      <c r="AY1238" s="416"/>
      <c r="AZ1238" s="416"/>
      <c r="BA1238" s="416"/>
      <c r="BB1238" s="416"/>
      <c r="BC1238" s="416"/>
      <c r="BD1238" s="416"/>
      <c r="BE1238" s="416"/>
      <c r="BF1238" s="416"/>
      <c r="BG1238" s="416"/>
      <c r="BH1238" s="416"/>
      <c r="BI1238" s="416"/>
      <c r="BJ1238" s="416"/>
      <c r="BK1238" s="416"/>
      <c r="BL1238" s="416"/>
      <c r="BM1238" s="416"/>
      <c r="BN1238" s="416"/>
      <c r="BO1238" s="416"/>
      <c r="BP1238" s="416"/>
      <c r="BQ1238" s="416"/>
      <c r="BR1238" s="416"/>
      <c r="BS1238" s="416"/>
      <c r="BT1238" s="416"/>
      <c r="BU1238" s="416"/>
      <c r="BV1238" s="416"/>
      <c r="BW1238" s="416"/>
      <c r="BX1238" s="416"/>
      <c r="BY1238" s="416"/>
      <c r="BZ1238" s="416"/>
      <c r="CA1238" s="416"/>
      <c r="CB1238" s="416"/>
      <c r="CC1238" s="416"/>
      <c r="CD1238" s="416"/>
      <c r="CE1238" s="416"/>
      <c r="CF1238" s="416"/>
      <c r="CG1238" s="416"/>
      <c r="CH1238" s="416"/>
      <c r="CI1238" s="416"/>
      <c r="CJ1238" s="416"/>
      <c r="CK1238" s="416"/>
      <c r="CL1238" s="416"/>
      <c r="CM1238" s="416"/>
      <c r="CN1238" s="416"/>
      <c r="CO1238" s="416"/>
      <c r="CP1238" s="416"/>
      <c r="CQ1238" s="416"/>
      <c r="CR1238" s="416"/>
      <c r="CS1238" s="416"/>
      <c r="CT1238" s="416"/>
      <c r="CU1238" s="416"/>
      <c r="CV1238" s="416"/>
      <c r="CW1238" s="416"/>
      <c r="CX1238" s="416"/>
      <c r="CY1238" s="416"/>
      <c r="CZ1238" s="416"/>
      <c r="DA1238" s="416"/>
      <c r="DB1238" s="416"/>
      <c r="DC1238" s="416"/>
      <c r="DD1238" s="416"/>
      <c r="DE1238" s="416"/>
      <c r="DF1238" s="416"/>
      <c r="DG1238" s="416"/>
      <c r="DH1238" s="416"/>
      <c r="DI1238" s="416"/>
      <c r="DJ1238" s="416"/>
      <c r="DK1238" s="416"/>
      <c r="DL1238" s="416"/>
      <c r="DM1238" s="416"/>
      <c r="DN1238" s="416"/>
      <c r="DO1238" s="416"/>
      <c r="DP1238" s="416"/>
      <c r="DQ1238" s="416"/>
      <c r="DR1238" s="416"/>
      <c r="DS1238" s="416"/>
      <c r="DT1238" s="416"/>
      <c r="DU1238" s="416"/>
      <c r="DV1238" s="416"/>
      <c r="DW1238" s="416"/>
      <c r="DX1238" s="416"/>
      <c r="DY1238" s="416"/>
      <c r="DZ1238" s="416"/>
      <c r="EA1238" s="416"/>
      <c r="EB1238" s="416"/>
      <c r="EC1238" s="416"/>
      <c r="ED1238" s="416"/>
      <c r="EE1238" s="416"/>
      <c r="EF1238" s="416"/>
      <c r="EG1238" s="416"/>
      <c r="EH1238" s="416"/>
      <c r="EI1238" s="416"/>
      <c r="EJ1238" s="416"/>
      <c r="EK1238" s="416"/>
      <c r="EL1238" s="416"/>
      <c r="EM1238" s="416"/>
      <c r="EN1238" s="416"/>
      <c r="EO1238" s="416"/>
      <c r="EP1238" s="416"/>
      <c r="EQ1238" s="416"/>
      <c r="ER1238" s="416"/>
      <c r="ES1238" s="416"/>
      <c r="ET1238" s="416"/>
      <c r="EU1238" s="416"/>
      <c r="EV1238" s="416"/>
      <c r="EW1238" s="416"/>
      <c r="EX1238" s="416"/>
      <c r="EY1238" s="416"/>
      <c r="EZ1238" s="416"/>
      <c r="FA1238" s="416"/>
      <c r="FB1238" s="416"/>
      <c r="FC1238" s="416"/>
      <c r="FD1238" s="416"/>
      <c r="FE1238" s="416"/>
      <c r="FF1238" s="416"/>
      <c r="FG1238" s="416"/>
      <c r="FH1238" s="416"/>
      <c r="FI1238" s="416"/>
      <c r="FJ1238" s="416"/>
      <c r="FK1238" s="416"/>
      <c r="FL1238" s="416"/>
      <c r="FM1238" s="416"/>
      <c r="FN1238" s="416"/>
      <c r="FO1238" s="416"/>
      <c r="FP1238" s="416"/>
      <c r="FQ1238" s="416"/>
      <c r="FR1238" s="416"/>
      <c r="FS1238" s="416"/>
      <c r="FT1238" s="416"/>
      <c r="FU1238" s="416"/>
      <c r="FV1238" s="416"/>
      <c r="FW1238" s="416"/>
      <c r="FX1238" s="416"/>
      <c r="FY1238" s="416"/>
      <c r="FZ1238" s="416"/>
      <c r="GA1238" s="416"/>
      <c r="GB1238" s="416"/>
      <c r="GC1238" s="416"/>
      <c r="GD1238" s="416"/>
      <c r="GE1238" s="416"/>
      <c r="GF1238" s="416"/>
      <c r="GG1238" s="416"/>
      <c r="GH1238" s="416"/>
      <c r="GI1238" s="416"/>
      <c r="GJ1238" s="416"/>
      <c r="GK1238" s="416"/>
      <c r="GL1238" s="416"/>
      <c r="GM1238" s="416"/>
      <c r="GN1238" s="416"/>
      <c r="GO1238" s="416"/>
      <c r="GP1238" s="416"/>
      <c r="GQ1238" s="416"/>
      <c r="GR1238" s="416"/>
      <c r="GS1238" s="416"/>
      <c r="GT1238" s="416"/>
      <c r="GU1238" s="416"/>
      <c r="GV1238" s="416"/>
      <c r="GW1238" s="416"/>
      <c r="GX1238" s="416"/>
      <c r="GY1238" s="416"/>
      <c r="GZ1238" s="416"/>
      <c r="HA1238" s="416"/>
      <c r="HB1238" s="416"/>
      <c r="HC1238" s="416"/>
      <c r="HD1238" s="416"/>
      <c r="HE1238" s="416"/>
      <c r="HF1238" s="416"/>
      <c r="HG1238" s="416"/>
      <c r="HH1238" s="416"/>
      <c r="HI1238" s="416"/>
      <c r="HJ1238" s="416"/>
      <c r="HK1238" s="416"/>
      <c r="HL1238" s="416"/>
      <c r="HM1238" s="416"/>
      <c r="HN1238" s="416"/>
      <c r="HO1238" s="416"/>
      <c r="HP1238" s="416"/>
      <c r="HQ1238" s="416"/>
      <c r="HR1238" s="416"/>
    </row>
    <row r="1239" spans="1:226" s="418" customFormat="1" ht="15" hidden="1" customHeight="1">
      <c r="A1239" s="1772"/>
      <c r="B1239" s="1774"/>
      <c r="C1239" s="1804"/>
      <c r="D1239" s="1806"/>
      <c r="E1239" s="1352" t="s">
        <v>339</v>
      </c>
      <c r="F1239" s="1353">
        <f t="shared" si="111"/>
        <v>0</v>
      </c>
      <c r="G1239" s="1353"/>
      <c r="H1239" s="1353"/>
      <c r="I1239" s="1353"/>
      <c r="J1239" s="1354"/>
      <c r="K1239" s="416"/>
    </row>
    <row r="1240" spans="1:226" s="418" customFormat="1" ht="22.5">
      <c r="A1240" s="1772"/>
      <c r="B1240" s="1774"/>
      <c r="C1240" s="1804"/>
      <c r="D1240" s="1806"/>
      <c r="E1240" s="1349" t="s">
        <v>340</v>
      </c>
      <c r="F1240" s="1350">
        <f>SUM(F1241:F1242)</f>
        <v>696092</v>
      </c>
      <c r="G1240" s="1350">
        <f>SUM(G1241:G1242)</f>
        <v>333</v>
      </c>
      <c r="H1240" s="1350">
        <f>SUM(H1241:H1242)</f>
        <v>409754</v>
      </c>
      <c r="I1240" s="1350">
        <f>SUM(I1241:I1242)</f>
        <v>286005</v>
      </c>
      <c r="J1240" s="1351">
        <f>SUM(J1241:J1242)</f>
        <v>0</v>
      </c>
      <c r="K1240" s="416"/>
    </row>
    <row r="1241" spans="1:226" s="418" customFormat="1" ht="15" customHeight="1">
      <c r="A1241" s="1772"/>
      <c r="B1241" s="1774"/>
      <c r="C1241" s="1804"/>
      <c r="D1241" s="1806"/>
      <c r="E1241" s="1352" t="s">
        <v>394</v>
      </c>
      <c r="F1241" s="1353">
        <f t="shared" ref="F1241:F1242" si="112">SUM(G1241:J1241)</f>
        <v>409754</v>
      </c>
      <c r="G1241" s="1353"/>
      <c r="H1241" s="1353">
        <v>409754</v>
      </c>
      <c r="I1241" s="1353"/>
      <c r="J1241" s="1354"/>
      <c r="K1241" s="416"/>
    </row>
    <row r="1242" spans="1:226" s="418" customFormat="1" ht="15" customHeight="1">
      <c r="A1242" s="1772"/>
      <c r="B1242" s="1774"/>
      <c r="C1242" s="1804"/>
      <c r="D1242" s="1806"/>
      <c r="E1242" s="1352" t="s">
        <v>344</v>
      </c>
      <c r="F1242" s="1353">
        <f t="shared" si="112"/>
        <v>286338</v>
      </c>
      <c r="G1242" s="1353">
        <v>333</v>
      </c>
      <c r="H1242" s="1353"/>
      <c r="I1242" s="1353">
        <v>286005</v>
      </c>
      <c r="J1242" s="1354"/>
      <c r="K1242" s="416"/>
    </row>
    <row r="1243" spans="1:226" s="434" customFormat="1" ht="13.5" thickBot="1">
      <c r="A1243" s="1772"/>
      <c r="B1243" s="1774"/>
      <c r="C1243" s="1804"/>
      <c r="D1243" s="1806"/>
      <c r="E1243" s="1355" t="s">
        <v>324</v>
      </c>
      <c r="F1243" s="1347">
        <f>SUM(F1244:F1245)</f>
        <v>0</v>
      </c>
      <c r="G1243" s="1347">
        <f>SUM(G1244:G1245)</f>
        <v>0</v>
      </c>
      <c r="H1243" s="1347">
        <f>SUM(H1244:H1245)</f>
        <v>0</v>
      </c>
      <c r="I1243" s="1347">
        <f>SUM(I1244:I1245)</f>
        <v>0</v>
      </c>
      <c r="J1243" s="1348">
        <f>SUM(J1244:J1245)</f>
        <v>0</v>
      </c>
      <c r="K1243" s="433"/>
    </row>
    <row r="1244" spans="1:226" s="434" customFormat="1" ht="15" hidden="1" customHeight="1">
      <c r="A1244" s="1772"/>
      <c r="B1244" s="1774"/>
      <c r="C1244" s="1804"/>
      <c r="D1244" s="1806"/>
      <c r="E1244" s="1352"/>
      <c r="F1244" s="1353">
        <f>SUM(G1244:J1244)</f>
        <v>0</v>
      </c>
      <c r="G1244" s="1353"/>
      <c r="H1244" s="1353"/>
      <c r="I1244" s="1353"/>
      <c r="J1244" s="1354"/>
      <c r="K1244" s="433"/>
    </row>
    <row r="1245" spans="1:226" s="366" customFormat="1" ht="15" hidden="1" customHeight="1">
      <c r="A1245" s="1773"/>
      <c r="B1245" s="1775"/>
      <c r="C1245" s="1805"/>
      <c r="D1245" s="1807"/>
      <c r="E1245" s="1358"/>
      <c r="F1245" s="1359">
        <f>SUM(G1245:J1245)</f>
        <v>0</v>
      </c>
      <c r="G1245" s="1359"/>
      <c r="H1245" s="1359"/>
      <c r="I1245" s="1359"/>
      <c r="J1245" s="1360"/>
      <c r="K1245" s="365"/>
    </row>
    <row r="1246" spans="1:226" s="418" customFormat="1" ht="24.95" customHeight="1">
      <c r="A1246" s="1782" t="s">
        <v>350</v>
      </c>
      <c r="B1246" s="1833" t="s">
        <v>533</v>
      </c>
      <c r="C1246" s="1822">
        <v>852</v>
      </c>
      <c r="D1246" s="1824" t="s">
        <v>524</v>
      </c>
      <c r="E1246" s="1361" t="s">
        <v>322</v>
      </c>
      <c r="F1246" s="1362">
        <f>SUM(F1247,F1268)</f>
        <v>132062</v>
      </c>
      <c r="G1246" s="1362">
        <f>SUM(G1247,G1268)</f>
        <v>132062</v>
      </c>
      <c r="H1246" s="1362">
        <f>SUM(H1247,H1268)</f>
        <v>0</v>
      </c>
      <c r="I1246" s="1362">
        <f>SUM(I1247,I1268)</f>
        <v>0</v>
      </c>
      <c r="J1246" s="1363">
        <f>SUM(J1247,J1268)</f>
        <v>0</v>
      </c>
      <c r="K1246" s="416"/>
    </row>
    <row r="1247" spans="1:226" s="418" customFormat="1" ht="21">
      <c r="A1247" s="1772"/>
      <c r="B1247" s="1774"/>
      <c r="C1247" s="1804"/>
      <c r="D1247" s="1806"/>
      <c r="E1247" s="1346" t="s">
        <v>334</v>
      </c>
      <c r="F1247" s="1347">
        <f>SUM(F1248,F1250,F1259)</f>
        <v>132062</v>
      </c>
      <c r="G1247" s="1347">
        <f>SUM(G1248,G1250,G1259)</f>
        <v>132062</v>
      </c>
      <c r="H1247" s="1347">
        <f>SUM(H1248,H1250,H1259)</f>
        <v>0</v>
      </c>
      <c r="I1247" s="1347">
        <f>SUM(I1248,I1250,I1259)</f>
        <v>0</v>
      </c>
      <c r="J1247" s="1348">
        <f>SUM(J1248,J1250,J1259)</f>
        <v>0</v>
      </c>
      <c r="K1247" s="416"/>
    </row>
    <row r="1248" spans="1:226" s="418" customFormat="1" ht="24.95" hidden="1" customHeight="1">
      <c r="A1248" s="1772"/>
      <c r="B1248" s="1774"/>
      <c r="C1248" s="1804"/>
      <c r="D1248" s="1806"/>
      <c r="E1248" s="1349" t="s">
        <v>389</v>
      </c>
      <c r="F1248" s="1350">
        <f>SUM(F1249)</f>
        <v>0</v>
      </c>
      <c r="G1248" s="1350">
        <f t="shared" ref="G1248:J1248" si="113">SUM(G1249)</f>
        <v>0</v>
      </c>
      <c r="H1248" s="1350">
        <f t="shared" si="113"/>
        <v>0</v>
      </c>
      <c r="I1248" s="1350">
        <f t="shared" si="113"/>
        <v>0</v>
      </c>
      <c r="J1248" s="1351">
        <f t="shared" si="113"/>
        <v>0</v>
      </c>
      <c r="K1248" s="416"/>
    </row>
    <row r="1249" spans="1:226" s="418" customFormat="1" ht="15" hidden="1" customHeight="1">
      <c r="A1249" s="1772"/>
      <c r="B1249" s="1774"/>
      <c r="C1249" s="1804"/>
      <c r="D1249" s="1806"/>
      <c r="E1249" s="1352"/>
      <c r="F1249" s="1353">
        <f>SUM(G1249:J1249)</f>
        <v>0</v>
      </c>
      <c r="G1249" s="1353"/>
      <c r="H1249" s="1353"/>
      <c r="I1249" s="1353"/>
      <c r="J1249" s="1354"/>
      <c r="K1249" s="416"/>
    </row>
    <row r="1250" spans="1:226" s="418" customFormat="1" ht="22.5">
      <c r="A1250" s="1772"/>
      <c r="B1250" s="1774"/>
      <c r="C1250" s="1804"/>
      <c r="D1250" s="1806"/>
      <c r="E1250" s="1349" t="s">
        <v>335</v>
      </c>
      <c r="F1250" s="1350">
        <f>SUM(F1251:F1258)</f>
        <v>111429</v>
      </c>
      <c r="G1250" s="1350">
        <f>SUM(G1251:G1258)</f>
        <v>111429</v>
      </c>
      <c r="H1250" s="1350">
        <f>SUM(H1251:H1258)</f>
        <v>0</v>
      </c>
      <c r="I1250" s="1350">
        <f>SUM(I1251:I1258)</f>
        <v>0</v>
      </c>
      <c r="J1250" s="1351">
        <f>SUM(J1251:J1258)</f>
        <v>0</v>
      </c>
      <c r="K1250" s="416"/>
    </row>
    <row r="1251" spans="1:226" s="418" customFormat="1" ht="15" customHeight="1">
      <c r="A1251" s="1772"/>
      <c r="B1251" s="1774"/>
      <c r="C1251" s="1804"/>
      <c r="D1251" s="1806"/>
      <c r="E1251" s="1352" t="s">
        <v>362</v>
      </c>
      <c r="F1251" s="1353">
        <f t="shared" ref="F1251:F1258" si="114">SUM(G1251:J1251)</f>
        <v>79339</v>
      </c>
      <c r="G1251" s="1353">
        <v>79339</v>
      </c>
      <c r="H1251" s="1353"/>
      <c r="I1251" s="1353"/>
      <c r="J1251" s="1354"/>
      <c r="K1251" s="416"/>
    </row>
    <row r="1252" spans="1:226" s="418" customFormat="1" ht="15" customHeight="1">
      <c r="A1252" s="1772"/>
      <c r="B1252" s="1774"/>
      <c r="C1252" s="1804"/>
      <c r="D1252" s="1806"/>
      <c r="E1252" s="1352" t="s">
        <v>363</v>
      </c>
      <c r="F1252" s="1353">
        <f t="shared" si="114"/>
        <v>14001</v>
      </c>
      <c r="G1252" s="1353">
        <v>14001</v>
      </c>
      <c r="H1252" s="1353"/>
      <c r="I1252" s="1353"/>
      <c r="J1252" s="1354"/>
      <c r="K1252" s="417"/>
    </row>
    <row r="1253" spans="1:226" s="418" customFormat="1" ht="15" customHeight="1">
      <c r="A1253" s="1772"/>
      <c r="B1253" s="1774"/>
      <c r="C1253" s="1804"/>
      <c r="D1253" s="1806"/>
      <c r="E1253" s="1352" t="s">
        <v>336</v>
      </c>
      <c r="F1253" s="1353">
        <f t="shared" si="114"/>
        <v>13433</v>
      </c>
      <c r="G1253" s="1353">
        <v>13433</v>
      </c>
      <c r="H1253" s="1353"/>
      <c r="I1253" s="1353"/>
      <c r="J1253" s="1354"/>
      <c r="K1253" s="416"/>
    </row>
    <row r="1254" spans="1:226" s="418" customFormat="1" ht="15" customHeight="1">
      <c r="A1254" s="1772"/>
      <c r="B1254" s="1774"/>
      <c r="C1254" s="1804"/>
      <c r="D1254" s="1806"/>
      <c r="E1254" s="1352" t="s">
        <v>337</v>
      </c>
      <c r="F1254" s="1353">
        <f t="shared" si="114"/>
        <v>2370</v>
      </c>
      <c r="G1254" s="1353">
        <v>2370</v>
      </c>
      <c r="H1254" s="1353"/>
      <c r="I1254" s="1353"/>
      <c r="J1254" s="1354"/>
      <c r="K1254" s="416"/>
    </row>
    <row r="1255" spans="1:226" s="418" customFormat="1" ht="15" customHeight="1">
      <c r="A1255" s="1772"/>
      <c r="B1255" s="1774"/>
      <c r="C1255" s="1804"/>
      <c r="D1255" s="1806"/>
      <c r="E1255" s="1352" t="s">
        <v>366</v>
      </c>
      <c r="F1255" s="1353">
        <f t="shared" si="114"/>
        <v>1943</v>
      </c>
      <c r="G1255" s="1353">
        <v>1943</v>
      </c>
      <c r="H1255" s="1353"/>
      <c r="I1255" s="1353"/>
      <c r="J1255" s="1354"/>
      <c r="K1255" s="416"/>
    </row>
    <row r="1256" spans="1:226" s="418" customFormat="1" ht="15" customHeight="1">
      <c r="A1256" s="1772"/>
      <c r="B1256" s="1774"/>
      <c r="C1256" s="1804"/>
      <c r="D1256" s="1806"/>
      <c r="E1256" s="1352" t="s">
        <v>367</v>
      </c>
      <c r="F1256" s="1353">
        <f t="shared" si="114"/>
        <v>343</v>
      </c>
      <c r="G1256" s="1353">
        <v>343</v>
      </c>
      <c r="H1256" s="1353"/>
      <c r="I1256" s="1353"/>
      <c r="J1256" s="1354"/>
      <c r="K1256" s="416"/>
    </row>
    <row r="1257" spans="1:226" s="418" customFormat="1" ht="15" hidden="1" customHeight="1">
      <c r="A1257" s="1772"/>
      <c r="B1257" s="1774"/>
      <c r="C1257" s="1804"/>
      <c r="D1257" s="1806"/>
      <c r="E1257" s="1352"/>
      <c r="F1257" s="1353">
        <f t="shared" si="114"/>
        <v>0</v>
      </c>
      <c r="G1257" s="1353"/>
      <c r="H1257" s="1353"/>
      <c r="I1257" s="1353"/>
      <c r="J1257" s="1354"/>
      <c r="K1257" s="416"/>
      <c r="L1257" s="416"/>
      <c r="M1257" s="416"/>
      <c r="N1257" s="416"/>
      <c r="O1257" s="416"/>
      <c r="P1257" s="416"/>
      <c r="Q1257" s="416"/>
      <c r="R1257" s="416"/>
      <c r="S1257" s="416"/>
      <c r="T1257" s="416"/>
      <c r="U1257" s="416"/>
      <c r="V1257" s="416"/>
      <c r="W1257" s="416"/>
      <c r="X1257" s="416"/>
      <c r="Y1257" s="416"/>
      <c r="Z1257" s="416"/>
      <c r="AA1257" s="416"/>
      <c r="AB1257" s="416"/>
      <c r="AC1257" s="416"/>
      <c r="AD1257" s="416"/>
      <c r="AE1257" s="416"/>
      <c r="AF1257" s="416"/>
      <c r="AG1257" s="416"/>
      <c r="AH1257" s="416"/>
      <c r="AI1257" s="416"/>
      <c r="AJ1257" s="416"/>
      <c r="AK1257" s="416"/>
      <c r="AL1257" s="416"/>
      <c r="AM1257" s="416"/>
      <c r="AN1257" s="416"/>
      <c r="AO1257" s="416"/>
      <c r="AP1257" s="416"/>
      <c r="AQ1257" s="416"/>
      <c r="AR1257" s="416"/>
      <c r="AS1257" s="416"/>
      <c r="AT1257" s="416"/>
      <c r="AU1257" s="416"/>
      <c r="AV1257" s="416"/>
      <c r="AW1257" s="416"/>
      <c r="AX1257" s="416"/>
      <c r="AY1257" s="416"/>
      <c r="AZ1257" s="416"/>
      <c r="BA1257" s="416"/>
      <c r="BB1257" s="416"/>
      <c r="BC1257" s="416"/>
      <c r="BD1257" s="416"/>
      <c r="BE1257" s="416"/>
      <c r="BF1257" s="416"/>
      <c r="BG1257" s="416"/>
      <c r="BH1257" s="416"/>
      <c r="BI1257" s="416"/>
      <c r="BJ1257" s="416"/>
      <c r="BK1257" s="416"/>
      <c r="BL1257" s="416"/>
      <c r="BM1257" s="416"/>
      <c r="BN1257" s="416"/>
      <c r="BO1257" s="416"/>
      <c r="BP1257" s="416"/>
      <c r="BQ1257" s="416"/>
      <c r="BR1257" s="416"/>
      <c r="BS1257" s="416"/>
      <c r="BT1257" s="416"/>
      <c r="BU1257" s="416"/>
      <c r="BV1257" s="416"/>
      <c r="BW1257" s="416"/>
      <c r="BX1257" s="416"/>
      <c r="BY1257" s="416"/>
      <c r="BZ1257" s="416"/>
      <c r="CA1257" s="416"/>
      <c r="CB1257" s="416"/>
      <c r="CC1257" s="416"/>
      <c r="CD1257" s="416"/>
      <c r="CE1257" s="416"/>
      <c r="CF1257" s="416"/>
      <c r="CG1257" s="416"/>
      <c r="CH1257" s="416"/>
      <c r="CI1257" s="416"/>
      <c r="CJ1257" s="416"/>
      <c r="CK1257" s="416"/>
      <c r="CL1257" s="416"/>
      <c r="CM1257" s="416"/>
      <c r="CN1257" s="416"/>
      <c r="CO1257" s="416"/>
      <c r="CP1257" s="416"/>
      <c r="CQ1257" s="416"/>
      <c r="CR1257" s="416"/>
      <c r="CS1257" s="416"/>
      <c r="CT1257" s="416"/>
      <c r="CU1257" s="416"/>
      <c r="CV1257" s="416"/>
      <c r="CW1257" s="416"/>
      <c r="CX1257" s="416"/>
      <c r="CY1257" s="416"/>
      <c r="CZ1257" s="416"/>
      <c r="DA1257" s="416"/>
      <c r="DB1257" s="416"/>
      <c r="DC1257" s="416"/>
      <c r="DD1257" s="416"/>
      <c r="DE1257" s="416"/>
      <c r="DF1257" s="416"/>
      <c r="DG1257" s="416"/>
      <c r="DH1257" s="416"/>
      <c r="DI1257" s="416"/>
      <c r="DJ1257" s="416"/>
      <c r="DK1257" s="416"/>
      <c r="DL1257" s="416"/>
      <c r="DM1257" s="416"/>
      <c r="DN1257" s="416"/>
      <c r="DO1257" s="416"/>
      <c r="DP1257" s="416"/>
      <c r="DQ1257" s="416"/>
      <c r="DR1257" s="416"/>
      <c r="DS1257" s="416"/>
      <c r="DT1257" s="416"/>
      <c r="DU1257" s="416"/>
      <c r="DV1257" s="416"/>
      <c r="DW1257" s="416"/>
      <c r="DX1257" s="416"/>
      <c r="DY1257" s="416"/>
      <c r="DZ1257" s="416"/>
      <c r="EA1257" s="416"/>
      <c r="EB1257" s="416"/>
      <c r="EC1257" s="416"/>
      <c r="ED1257" s="416"/>
      <c r="EE1257" s="416"/>
      <c r="EF1257" s="416"/>
      <c r="EG1257" s="416"/>
      <c r="EH1257" s="416"/>
      <c r="EI1257" s="416"/>
      <c r="EJ1257" s="416"/>
      <c r="EK1257" s="416"/>
      <c r="EL1257" s="416"/>
      <c r="EM1257" s="416"/>
      <c r="EN1257" s="416"/>
      <c r="EO1257" s="416"/>
      <c r="EP1257" s="416"/>
      <c r="EQ1257" s="416"/>
      <c r="ER1257" s="416"/>
      <c r="ES1257" s="416"/>
      <c r="ET1257" s="416"/>
      <c r="EU1257" s="416"/>
      <c r="EV1257" s="416"/>
      <c r="EW1257" s="416"/>
      <c r="EX1257" s="416"/>
      <c r="EY1257" s="416"/>
      <c r="EZ1257" s="416"/>
      <c r="FA1257" s="416"/>
      <c r="FB1257" s="416"/>
      <c r="FC1257" s="416"/>
      <c r="FD1257" s="416"/>
      <c r="FE1257" s="416"/>
      <c r="FF1257" s="416"/>
      <c r="FG1257" s="416"/>
      <c r="FH1257" s="416"/>
      <c r="FI1257" s="416"/>
      <c r="FJ1257" s="416"/>
      <c r="FK1257" s="416"/>
      <c r="FL1257" s="416"/>
      <c r="FM1257" s="416"/>
      <c r="FN1257" s="416"/>
      <c r="FO1257" s="416"/>
      <c r="FP1257" s="416"/>
      <c r="FQ1257" s="416"/>
      <c r="FR1257" s="416"/>
      <c r="FS1257" s="416"/>
      <c r="FT1257" s="416"/>
      <c r="FU1257" s="416"/>
      <c r="FV1257" s="416"/>
      <c r="FW1257" s="416"/>
      <c r="FX1257" s="416"/>
      <c r="FY1257" s="416"/>
      <c r="FZ1257" s="416"/>
      <c r="GA1257" s="416"/>
      <c r="GB1257" s="416"/>
      <c r="GC1257" s="416"/>
      <c r="GD1257" s="416"/>
      <c r="GE1257" s="416"/>
      <c r="GF1257" s="416"/>
      <c r="GG1257" s="416"/>
      <c r="GH1257" s="416"/>
      <c r="GI1257" s="416"/>
      <c r="GJ1257" s="416"/>
      <c r="GK1257" s="416"/>
      <c r="GL1257" s="416"/>
      <c r="GM1257" s="416"/>
      <c r="GN1257" s="416"/>
      <c r="GO1257" s="416"/>
      <c r="GP1257" s="416"/>
      <c r="GQ1257" s="416"/>
      <c r="GR1257" s="416"/>
      <c r="GS1257" s="416"/>
      <c r="GT1257" s="416"/>
      <c r="GU1257" s="416"/>
      <c r="GV1257" s="416"/>
      <c r="GW1257" s="416"/>
      <c r="GX1257" s="416"/>
      <c r="GY1257" s="416"/>
      <c r="GZ1257" s="416"/>
      <c r="HA1257" s="416"/>
      <c r="HB1257" s="416"/>
      <c r="HC1257" s="416"/>
      <c r="HD1257" s="416"/>
      <c r="HE1257" s="416"/>
      <c r="HF1257" s="416"/>
      <c r="HG1257" s="416"/>
      <c r="HH1257" s="416"/>
      <c r="HI1257" s="416"/>
      <c r="HJ1257" s="416"/>
      <c r="HK1257" s="416"/>
      <c r="HL1257" s="416"/>
      <c r="HM1257" s="416"/>
      <c r="HN1257" s="416"/>
      <c r="HO1257" s="416"/>
      <c r="HP1257" s="416"/>
      <c r="HQ1257" s="416"/>
      <c r="HR1257" s="416"/>
    </row>
    <row r="1258" spans="1:226" s="418" customFormat="1" ht="15" hidden="1" customHeight="1">
      <c r="A1258" s="1772"/>
      <c r="B1258" s="1774"/>
      <c r="C1258" s="1804"/>
      <c r="D1258" s="1806"/>
      <c r="E1258" s="1352"/>
      <c r="F1258" s="1353">
        <f t="shared" si="114"/>
        <v>0</v>
      </c>
      <c r="G1258" s="1353"/>
      <c r="H1258" s="1353"/>
      <c r="I1258" s="1353"/>
      <c r="J1258" s="1354"/>
      <c r="K1258" s="416"/>
    </row>
    <row r="1259" spans="1:226" s="418" customFormat="1" ht="22.5">
      <c r="A1259" s="1772"/>
      <c r="B1259" s="1774"/>
      <c r="C1259" s="1804"/>
      <c r="D1259" s="1806"/>
      <c r="E1259" s="1349" t="s">
        <v>340</v>
      </c>
      <c r="F1259" s="1350">
        <f>SUM(F1260:F1267)</f>
        <v>20633</v>
      </c>
      <c r="G1259" s="1350">
        <f>SUM(G1260:G1267)</f>
        <v>20633</v>
      </c>
      <c r="H1259" s="1350">
        <f>SUM(H1260:H1267)</f>
        <v>0</v>
      </c>
      <c r="I1259" s="1350">
        <f>SUM(I1260:I1267)</f>
        <v>0</v>
      </c>
      <c r="J1259" s="1351">
        <f>SUM(J1260:J1267)</f>
        <v>0</v>
      </c>
      <c r="K1259" s="416"/>
    </row>
    <row r="1260" spans="1:226" s="418" customFormat="1" ht="15" customHeight="1">
      <c r="A1260" s="1772"/>
      <c r="B1260" s="1774"/>
      <c r="C1260" s="1804"/>
      <c r="D1260" s="1806"/>
      <c r="E1260" s="1352" t="s">
        <v>356</v>
      </c>
      <c r="F1260" s="1353">
        <f t="shared" ref="F1260:F1267" si="115">SUM(G1260:J1260)</f>
        <v>6459</v>
      </c>
      <c r="G1260" s="1353">
        <v>6459</v>
      </c>
      <c r="H1260" s="1353"/>
      <c r="I1260" s="1353"/>
      <c r="J1260" s="1354"/>
      <c r="K1260" s="416"/>
    </row>
    <row r="1261" spans="1:226" s="418" customFormat="1" ht="15" customHeight="1">
      <c r="A1261" s="1772"/>
      <c r="B1261" s="1774"/>
      <c r="C1261" s="1804"/>
      <c r="D1261" s="1806"/>
      <c r="E1261" s="1352" t="s">
        <v>357</v>
      </c>
      <c r="F1261" s="1353">
        <f t="shared" si="115"/>
        <v>1140</v>
      </c>
      <c r="G1261" s="1353">
        <v>1140</v>
      </c>
      <c r="H1261" s="1353"/>
      <c r="I1261" s="1353"/>
      <c r="J1261" s="1354"/>
      <c r="K1261" s="416"/>
    </row>
    <row r="1262" spans="1:226" s="418" customFormat="1" ht="15" customHeight="1">
      <c r="A1262" s="1772"/>
      <c r="B1262" s="1774"/>
      <c r="C1262" s="1804"/>
      <c r="D1262" s="1806"/>
      <c r="E1262" s="1352" t="s">
        <v>358</v>
      </c>
      <c r="F1262" s="1353">
        <f t="shared" si="115"/>
        <v>2955</v>
      </c>
      <c r="G1262" s="1353">
        <v>2955</v>
      </c>
      <c r="H1262" s="1353"/>
      <c r="I1262" s="1353"/>
      <c r="J1262" s="1354"/>
      <c r="K1262" s="416"/>
    </row>
    <row r="1263" spans="1:226" s="418" customFormat="1" ht="15" customHeight="1">
      <c r="A1263" s="1772"/>
      <c r="B1263" s="1774"/>
      <c r="C1263" s="1804"/>
      <c r="D1263" s="1806"/>
      <c r="E1263" s="1352" t="s">
        <v>359</v>
      </c>
      <c r="F1263" s="1353">
        <f t="shared" si="115"/>
        <v>521</v>
      </c>
      <c r="G1263" s="1353">
        <v>521</v>
      </c>
      <c r="H1263" s="1353"/>
      <c r="I1263" s="1353"/>
      <c r="J1263" s="1354"/>
      <c r="K1263" s="416"/>
    </row>
    <row r="1264" spans="1:226" s="418" customFormat="1" ht="15" customHeight="1">
      <c r="A1264" s="1772"/>
      <c r="B1264" s="1774"/>
      <c r="C1264" s="1804"/>
      <c r="D1264" s="1806"/>
      <c r="E1264" s="1352" t="s">
        <v>345</v>
      </c>
      <c r="F1264" s="1353">
        <f t="shared" si="115"/>
        <v>850</v>
      </c>
      <c r="G1264" s="1353">
        <v>850</v>
      </c>
      <c r="H1264" s="1353"/>
      <c r="I1264" s="1353"/>
      <c r="J1264" s="1354"/>
      <c r="K1264" s="416"/>
    </row>
    <row r="1265" spans="1:11" s="418" customFormat="1" ht="15" customHeight="1">
      <c r="A1265" s="1772"/>
      <c r="B1265" s="1774"/>
      <c r="C1265" s="1804"/>
      <c r="D1265" s="1806"/>
      <c r="E1265" s="1352" t="s">
        <v>346</v>
      </c>
      <c r="F1265" s="1353">
        <f t="shared" si="115"/>
        <v>150</v>
      </c>
      <c r="G1265" s="1353">
        <v>150</v>
      </c>
      <c r="H1265" s="1353"/>
      <c r="I1265" s="1353"/>
      <c r="J1265" s="1354"/>
      <c r="K1265" s="416"/>
    </row>
    <row r="1266" spans="1:11" s="418" customFormat="1" ht="15" customHeight="1">
      <c r="A1266" s="1772"/>
      <c r="B1266" s="1774"/>
      <c r="C1266" s="1804"/>
      <c r="D1266" s="1806"/>
      <c r="E1266" s="1352" t="s">
        <v>376</v>
      </c>
      <c r="F1266" s="1353">
        <f t="shared" si="115"/>
        <v>7274</v>
      </c>
      <c r="G1266" s="1353">
        <v>7274</v>
      </c>
      <c r="H1266" s="1353"/>
      <c r="I1266" s="1353"/>
      <c r="J1266" s="1354"/>
      <c r="K1266" s="416"/>
    </row>
    <row r="1267" spans="1:11" s="418" customFormat="1" ht="15" customHeight="1">
      <c r="A1267" s="1772"/>
      <c r="B1267" s="1774"/>
      <c r="C1267" s="1804"/>
      <c r="D1267" s="1806"/>
      <c r="E1267" s="1352" t="s">
        <v>377</v>
      </c>
      <c r="F1267" s="1353">
        <f t="shared" si="115"/>
        <v>1284</v>
      </c>
      <c r="G1267" s="1353">
        <v>1284</v>
      </c>
      <c r="H1267" s="1353"/>
      <c r="I1267" s="1353"/>
      <c r="J1267" s="1354"/>
      <c r="K1267" s="416"/>
    </row>
    <row r="1268" spans="1:11" s="434" customFormat="1" ht="13.5" thickBot="1">
      <c r="A1268" s="1772"/>
      <c r="B1268" s="1774"/>
      <c r="C1268" s="1804"/>
      <c r="D1268" s="1806"/>
      <c r="E1268" s="1355" t="s">
        <v>324</v>
      </c>
      <c r="F1268" s="1347">
        <f>SUM(F1269:F1270)</f>
        <v>0</v>
      </c>
      <c r="G1268" s="1347">
        <f>SUM(G1269:G1270)</f>
        <v>0</v>
      </c>
      <c r="H1268" s="1347">
        <f>SUM(H1269:H1270)</f>
        <v>0</v>
      </c>
      <c r="I1268" s="1347">
        <f>SUM(I1269:I1270)</f>
        <v>0</v>
      </c>
      <c r="J1268" s="1348">
        <f>SUM(J1269:J1270)</f>
        <v>0</v>
      </c>
      <c r="K1268" s="433"/>
    </row>
    <row r="1269" spans="1:11" s="434" customFormat="1" ht="15" hidden="1" customHeight="1">
      <c r="A1269" s="1772"/>
      <c r="B1269" s="1774"/>
      <c r="C1269" s="1804"/>
      <c r="D1269" s="1806"/>
      <c r="E1269" s="1352"/>
      <c r="F1269" s="1353">
        <f>SUM(G1269:J1269)</f>
        <v>0</v>
      </c>
      <c r="G1269" s="1353"/>
      <c r="H1269" s="1353"/>
      <c r="I1269" s="1353"/>
      <c r="J1269" s="1354"/>
      <c r="K1269" s="433"/>
    </row>
    <row r="1270" spans="1:11" s="366" customFormat="1" ht="15" hidden="1" customHeight="1" thickBot="1">
      <c r="A1270" s="1783"/>
      <c r="B1270" s="1821"/>
      <c r="C1270" s="1823"/>
      <c r="D1270" s="1825"/>
      <c r="E1270" s="1356"/>
      <c r="F1270" s="1357">
        <f>SUM(G1270:J1270)</f>
        <v>0</v>
      </c>
      <c r="G1270" s="1357"/>
      <c r="H1270" s="1357"/>
      <c r="I1270" s="1357"/>
      <c r="J1270" s="1373"/>
      <c r="K1270" s="365"/>
    </row>
    <row r="1271" spans="1:11" s="364" customFormat="1" ht="24.95" customHeight="1">
      <c r="A1271" s="430" t="s">
        <v>534</v>
      </c>
      <c r="B1271" s="1845" t="s">
        <v>535</v>
      </c>
      <c r="C1271" s="1845"/>
      <c r="D1271" s="1845"/>
      <c r="E1271" s="1845"/>
      <c r="F1271" s="431">
        <f>F1273</f>
        <v>3039063</v>
      </c>
      <c r="G1271" s="431">
        <f t="shared" ref="G1271:J1271" si="116">G1273</f>
        <v>482297</v>
      </c>
      <c r="H1271" s="431">
        <f t="shared" si="116"/>
        <v>2556766</v>
      </c>
      <c r="I1271" s="431">
        <f t="shared" si="116"/>
        <v>0</v>
      </c>
      <c r="J1271" s="432">
        <f t="shared" si="116"/>
        <v>0</v>
      </c>
    </row>
    <row r="1272" spans="1:11" s="366" customFormat="1" ht="15" customHeight="1">
      <c r="A1272" s="1846"/>
      <c r="B1272" s="1847"/>
      <c r="C1272" s="1847"/>
      <c r="D1272" s="1847"/>
      <c r="E1272" s="1847"/>
      <c r="F1272" s="1847"/>
      <c r="G1272" s="1847"/>
      <c r="H1272" s="1847"/>
      <c r="I1272" s="1847"/>
      <c r="J1272" s="1848"/>
    </row>
    <row r="1273" spans="1:11" s="434" customFormat="1" ht="22.5">
      <c r="A1273" s="1773" t="s">
        <v>320</v>
      </c>
      <c r="B1273" s="1849" t="s">
        <v>536</v>
      </c>
      <c r="C1273" s="1805">
        <v>801</v>
      </c>
      <c r="D1273" s="1807" t="s">
        <v>537</v>
      </c>
      <c r="E1273" s="1343" t="s">
        <v>322</v>
      </c>
      <c r="F1273" s="1344">
        <f>SUM(F1274,F1281)</f>
        <v>3039063</v>
      </c>
      <c r="G1273" s="1344">
        <f>SUM(G1274,G1281)</f>
        <v>482297</v>
      </c>
      <c r="H1273" s="1344">
        <f>SUM(H1274,H1281)</f>
        <v>2556766</v>
      </c>
      <c r="I1273" s="1344">
        <f>SUM(I1274,I1281)</f>
        <v>0</v>
      </c>
      <c r="J1273" s="1345">
        <f>SUM(J1274,J1281)</f>
        <v>0</v>
      </c>
    </row>
    <row r="1274" spans="1:11" s="434" customFormat="1" ht="22.5">
      <c r="A1274" s="1809"/>
      <c r="B1274" s="1812"/>
      <c r="C1274" s="1815"/>
      <c r="D1274" s="1818"/>
      <c r="E1274" s="1409" t="s">
        <v>334</v>
      </c>
      <c r="F1274" s="1410">
        <f>SUM(F1275,F1277)</f>
        <v>404758</v>
      </c>
      <c r="G1274" s="1410">
        <f>SUM(G1275,G1277)</f>
        <v>87151</v>
      </c>
      <c r="H1274" s="1410">
        <f>SUM(H1275,H1277)</f>
        <v>317607</v>
      </c>
      <c r="I1274" s="1410">
        <f>SUM(I1275,I1277)</f>
        <v>0</v>
      </c>
      <c r="J1274" s="1411">
        <f>SUM(J1275,J1277)</f>
        <v>0</v>
      </c>
    </row>
    <row r="1275" spans="1:11" s="366" customFormat="1" ht="22.5">
      <c r="A1275" s="1809"/>
      <c r="B1275" s="1812"/>
      <c r="C1275" s="1815"/>
      <c r="D1275" s="1818"/>
      <c r="E1275" s="1412" t="s">
        <v>335</v>
      </c>
      <c r="F1275" s="1353">
        <f>SUM(F1276:F1276)</f>
        <v>22500</v>
      </c>
      <c r="G1275" s="1353">
        <f>SUM(G1276:G1276)</f>
        <v>22500</v>
      </c>
      <c r="H1275" s="1353">
        <f>SUM(H1276:H1276)</f>
        <v>0</v>
      </c>
      <c r="I1275" s="1353">
        <f>SUM(I1276:I1276)</f>
        <v>0</v>
      </c>
      <c r="J1275" s="1354">
        <f>SUM(J1276:J1276)</f>
        <v>0</v>
      </c>
    </row>
    <row r="1276" spans="1:11" s="366" customFormat="1" ht="15" customHeight="1">
      <c r="A1276" s="1809"/>
      <c r="B1276" s="1812"/>
      <c r="C1276" s="1815"/>
      <c r="D1276" s="1818"/>
      <c r="E1276" s="1352" t="s">
        <v>538</v>
      </c>
      <c r="F1276" s="1353">
        <f>SUM(G1276:J1276)</f>
        <v>22500</v>
      </c>
      <c r="G1276" s="1353">
        <v>22500</v>
      </c>
      <c r="H1276" s="1353"/>
      <c r="I1276" s="1353"/>
      <c r="J1276" s="1354"/>
    </row>
    <row r="1277" spans="1:11" s="366" customFormat="1" ht="24.95" customHeight="1">
      <c r="A1277" s="1809"/>
      <c r="B1277" s="1812"/>
      <c r="C1277" s="1815"/>
      <c r="D1277" s="1818"/>
      <c r="E1277" s="1412" t="s">
        <v>340</v>
      </c>
      <c r="F1277" s="1353">
        <f>SUM(F1278:F1280)</f>
        <v>382258</v>
      </c>
      <c r="G1277" s="1353">
        <f>SUM(G1278:G1280)</f>
        <v>64651</v>
      </c>
      <c r="H1277" s="1353">
        <f>SUM(H1278:H1280)</f>
        <v>317607</v>
      </c>
      <c r="I1277" s="1353">
        <f>SUM(I1278:I1280)</f>
        <v>0</v>
      </c>
      <c r="J1277" s="1354">
        <f>SUM(J1278:J1280)</f>
        <v>0</v>
      </c>
    </row>
    <row r="1278" spans="1:11" s="366" customFormat="1" ht="15" customHeight="1">
      <c r="A1278" s="1809"/>
      <c r="B1278" s="1812"/>
      <c r="C1278" s="1815"/>
      <c r="D1278" s="1818"/>
      <c r="E1278" s="1352" t="s">
        <v>517</v>
      </c>
      <c r="F1278" s="1353">
        <f t="shared" ref="F1278:F1280" si="117">SUM(G1278:J1278)</f>
        <v>8602</v>
      </c>
      <c r="G1278" s="1353">
        <v>8602</v>
      </c>
      <c r="H1278" s="1353"/>
      <c r="I1278" s="1353"/>
      <c r="J1278" s="1354"/>
    </row>
    <row r="1279" spans="1:11" s="366" customFormat="1" ht="15" customHeight="1">
      <c r="A1279" s="1809"/>
      <c r="B1279" s="1812"/>
      <c r="C1279" s="1815"/>
      <c r="D1279" s="1818"/>
      <c r="E1279" s="1352" t="s">
        <v>394</v>
      </c>
      <c r="F1279" s="1353">
        <f t="shared" si="117"/>
        <v>317607</v>
      </c>
      <c r="G1279" s="1353"/>
      <c r="H1279" s="1353">
        <v>317607</v>
      </c>
      <c r="I1279" s="1353"/>
      <c r="J1279" s="1354"/>
    </row>
    <row r="1280" spans="1:11" s="366" customFormat="1" ht="15" customHeight="1">
      <c r="A1280" s="1809"/>
      <c r="B1280" s="1812"/>
      <c r="C1280" s="1815"/>
      <c r="D1280" s="1818"/>
      <c r="E1280" s="1352" t="s">
        <v>344</v>
      </c>
      <c r="F1280" s="1353">
        <f t="shared" si="117"/>
        <v>56049</v>
      </c>
      <c r="G1280" s="1353">
        <v>56049</v>
      </c>
      <c r="H1280" s="1353"/>
      <c r="I1280" s="1353"/>
      <c r="J1280" s="1354"/>
    </row>
    <row r="1281" spans="1:10" s="434" customFormat="1">
      <c r="A1281" s="1809"/>
      <c r="B1281" s="1812"/>
      <c r="C1281" s="1815"/>
      <c r="D1281" s="1818"/>
      <c r="E1281" s="1413" t="s">
        <v>324</v>
      </c>
      <c r="F1281" s="1410">
        <f>SUM(F1282:F1283)</f>
        <v>2634305</v>
      </c>
      <c r="G1281" s="1410">
        <f>SUM(G1282:G1283)</f>
        <v>395146</v>
      </c>
      <c r="H1281" s="1410">
        <f>SUM(H1282:H1283)</f>
        <v>2239159</v>
      </c>
      <c r="I1281" s="1410">
        <f>SUM(I1282:I1283)</f>
        <v>0</v>
      </c>
      <c r="J1281" s="1411">
        <f>SUM(J1282:J1283)</f>
        <v>0</v>
      </c>
    </row>
    <row r="1282" spans="1:10" s="366" customFormat="1" ht="15" customHeight="1">
      <c r="A1282" s="1809"/>
      <c r="B1282" s="1812"/>
      <c r="C1282" s="1815"/>
      <c r="D1282" s="1818"/>
      <c r="E1282" s="1212" t="s">
        <v>397</v>
      </c>
      <c r="F1282" s="427">
        <f>SUM(G1282:J1282)</f>
        <v>2239159</v>
      </c>
      <c r="G1282" s="427"/>
      <c r="H1282" s="427">
        <v>2239159</v>
      </c>
      <c r="I1282" s="427"/>
      <c r="J1282" s="1382"/>
    </row>
    <row r="1283" spans="1:10" s="366" customFormat="1" ht="15" customHeight="1">
      <c r="A1283" s="1829"/>
      <c r="B1283" s="1850"/>
      <c r="C1283" s="1831"/>
      <c r="D1283" s="1832"/>
      <c r="E1283" s="1375">
        <v>6069</v>
      </c>
      <c r="F1283" s="1353">
        <f>SUM(G1283:J1283)</f>
        <v>395146</v>
      </c>
      <c r="G1283" s="1353">
        <v>395146</v>
      </c>
      <c r="H1283" s="1353"/>
      <c r="I1283" s="1353"/>
      <c r="J1283" s="1354"/>
    </row>
    <row r="1284" spans="1:10" s="101" customFormat="1" ht="20.25" customHeight="1">
      <c r="A1284" s="435" t="s">
        <v>539</v>
      </c>
      <c r="B1284" s="1851" t="s">
        <v>540</v>
      </c>
      <c r="C1284" s="1851"/>
      <c r="D1284" s="1851"/>
      <c r="E1284" s="1851"/>
      <c r="F1284" s="436">
        <f>F1286+F1312+F1338+F1366+F1394+F1422+F1438+F1462</f>
        <v>3836175</v>
      </c>
      <c r="G1284" s="436">
        <f t="shared" ref="G1284:J1284" si="118">G1286+G1312+G1338+G1366+G1394+G1422+G1438+G1462</f>
        <v>280248</v>
      </c>
      <c r="H1284" s="436">
        <f t="shared" si="118"/>
        <v>3453769</v>
      </c>
      <c r="I1284" s="436">
        <f t="shared" si="118"/>
        <v>102158</v>
      </c>
      <c r="J1284" s="1414">
        <f t="shared" si="118"/>
        <v>0</v>
      </c>
    </row>
    <row r="1285" spans="1:10" s="366" customFormat="1" ht="15" customHeight="1" thickBot="1">
      <c r="A1285" s="1852"/>
      <c r="B1285" s="1853"/>
      <c r="C1285" s="1853"/>
      <c r="D1285" s="1853"/>
      <c r="E1285" s="1853"/>
      <c r="F1285" s="1853"/>
      <c r="G1285" s="1853"/>
      <c r="H1285" s="1853"/>
      <c r="I1285" s="1853"/>
      <c r="J1285" s="1854"/>
    </row>
    <row r="1286" spans="1:10" s="366" customFormat="1" ht="22.5" customHeight="1">
      <c r="A1286" s="1808" t="s">
        <v>320</v>
      </c>
      <c r="B1286" s="1826" t="s">
        <v>541</v>
      </c>
      <c r="C1286" s="1814">
        <v>801</v>
      </c>
      <c r="D1286" s="1817" t="s">
        <v>542</v>
      </c>
      <c r="E1286" s="1361" t="s">
        <v>322</v>
      </c>
      <c r="F1286" s="1362">
        <f>SUM(F1287,F1309)</f>
        <v>125722</v>
      </c>
      <c r="G1286" s="1362">
        <f>SUM(G1287,G1309)</f>
        <v>0</v>
      </c>
      <c r="H1286" s="1362">
        <f>SUM(H1287,H1309)</f>
        <v>111999</v>
      </c>
      <c r="I1286" s="1362">
        <f>SUM(I1287,I1309)</f>
        <v>13723</v>
      </c>
      <c r="J1286" s="1363">
        <f>SUM(J1287,J1309)</f>
        <v>0</v>
      </c>
    </row>
    <row r="1287" spans="1:10" s="366" customFormat="1" ht="21">
      <c r="A1287" s="1809"/>
      <c r="B1287" s="1827"/>
      <c r="C1287" s="1815"/>
      <c r="D1287" s="1818"/>
      <c r="E1287" s="1346" t="s">
        <v>334</v>
      </c>
      <c r="F1287" s="1347">
        <f>SUM(F1288,F1291,F1300)</f>
        <v>125722</v>
      </c>
      <c r="G1287" s="1347">
        <f>SUM(G1288,G1291,G1300)</f>
        <v>0</v>
      </c>
      <c r="H1287" s="1347">
        <f>SUM(H1288,H1291,H1300)</f>
        <v>111999</v>
      </c>
      <c r="I1287" s="1347">
        <f>SUM(I1288,I1291,I1300)</f>
        <v>13723</v>
      </c>
      <c r="J1287" s="1348">
        <f>SUM(J1288,J1291,J1300)</f>
        <v>0</v>
      </c>
    </row>
    <row r="1288" spans="1:10" s="366" customFormat="1" ht="24.95" hidden="1" customHeight="1">
      <c r="A1288" s="1809"/>
      <c r="B1288" s="1827"/>
      <c r="C1288" s="1815"/>
      <c r="D1288" s="1818"/>
      <c r="E1288" s="1349" t="s">
        <v>389</v>
      </c>
      <c r="F1288" s="1350">
        <f>SUM(F1289:F1290)</f>
        <v>0</v>
      </c>
      <c r="G1288" s="1350">
        <f>SUM(G1289:G1290)</f>
        <v>0</v>
      </c>
      <c r="H1288" s="1350">
        <f>SUM(H1289:H1290)</f>
        <v>0</v>
      </c>
      <c r="I1288" s="1350">
        <f>SUM(I1289:I1290)</f>
        <v>0</v>
      </c>
      <c r="J1288" s="1351">
        <f>SUM(J1289:J1290)</f>
        <v>0</v>
      </c>
    </row>
    <row r="1289" spans="1:10" s="366" customFormat="1" ht="15" hidden="1" customHeight="1">
      <c r="A1289" s="1809"/>
      <c r="B1289" s="1827"/>
      <c r="C1289" s="1815"/>
      <c r="D1289" s="1818"/>
      <c r="E1289" s="1383" t="s">
        <v>404</v>
      </c>
      <c r="F1289" s="1353">
        <f>SUM(G1289:J1289)</f>
        <v>0</v>
      </c>
      <c r="G1289" s="1353"/>
      <c r="H1289" s="1353"/>
      <c r="I1289" s="1353"/>
      <c r="J1289" s="1354"/>
    </row>
    <row r="1290" spans="1:10" s="366" customFormat="1" ht="15" hidden="1" customHeight="1">
      <c r="A1290" s="1809"/>
      <c r="B1290" s="1827"/>
      <c r="C1290" s="1815"/>
      <c r="D1290" s="1818"/>
      <c r="E1290" s="1383" t="s">
        <v>437</v>
      </c>
      <c r="F1290" s="1353">
        <f>SUM(G1290:J1290)</f>
        <v>0</v>
      </c>
      <c r="G1290" s="1353"/>
      <c r="H1290" s="1353"/>
      <c r="I1290" s="1353"/>
      <c r="J1290" s="1354"/>
    </row>
    <row r="1291" spans="1:10" s="366" customFormat="1" ht="22.5">
      <c r="A1291" s="1809"/>
      <c r="B1291" s="1827"/>
      <c r="C1291" s="1815"/>
      <c r="D1291" s="1818"/>
      <c r="E1291" s="1349" t="s">
        <v>335</v>
      </c>
      <c r="F1291" s="1350">
        <f>SUM(F1292:F1299)</f>
        <v>51239</v>
      </c>
      <c r="G1291" s="1350">
        <f>SUM(G1292:G1299)</f>
        <v>0</v>
      </c>
      <c r="H1291" s="1350">
        <f>SUM(H1292:H1299)</f>
        <v>45649</v>
      </c>
      <c r="I1291" s="1350">
        <f>SUM(I1292:I1299)</f>
        <v>5590</v>
      </c>
      <c r="J1291" s="1351">
        <f>SUM(J1292:J1299)</f>
        <v>0</v>
      </c>
    </row>
    <row r="1292" spans="1:10" s="366" customFormat="1" ht="15" customHeight="1">
      <c r="A1292" s="1809"/>
      <c r="B1292" s="1827"/>
      <c r="C1292" s="1815"/>
      <c r="D1292" s="1818"/>
      <c r="E1292" s="1352" t="s">
        <v>391</v>
      </c>
      <c r="F1292" s="1353">
        <f t="shared" ref="F1292:F1299" si="119">SUM(G1292:J1292)</f>
        <v>38155</v>
      </c>
      <c r="G1292" s="1353"/>
      <c r="H1292" s="1353">
        <v>38155</v>
      </c>
      <c r="I1292" s="1353"/>
      <c r="J1292" s="1354"/>
    </row>
    <row r="1293" spans="1:10" s="366" customFormat="1" ht="15" customHeight="1">
      <c r="A1293" s="1809"/>
      <c r="B1293" s="1827"/>
      <c r="C1293" s="1815"/>
      <c r="D1293" s="1818"/>
      <c r="E1293" s="1352" t="s">
        <v>363</v>
      </c>
      <c r="F1293" s="1353">
        <f t="shared" si="119"/>
        <v>4673</v>
      </c>
      <c r="G1293" s="1353"/>
      <c r="H1293" s="1353"/>
      <c r="I1293" s="1353">
        <v>4673</v>
      </c>
      <c r="J1293" s="1354"/>
    </row>
    <row r="1294" spans="1:10" s="366" customFormat="1" ht="15" customHeight="1">
      <c r="A1294" s="1809"/>
      <c r="B1294" s="1827"/>
      <c r="C1294" s="1815"/>
      <c r="D1294" s="1818"/>
      <c r="E1294" s="1352" t="s">
        <v>392</v>
      </c>
      <c r="F1294" s="1353">
        <f t="shared" si="119"/>
        <v>6560</v>
      </c>
      <c r="G1294" s="1353"/>
      <c r="H1294" s="1353">
        <v>6560</v>
      </c>
      <c r="I1294" s="1353"/>
      <c r="J1294" s="1354"/>
    </row>
    <row r="1295" spans="1:10" s="366" customFormat="1" ht="15" customHeight="1">
      <c r="A1295" s="1809"/>
      <c r="B1295" s="1827"/>
      <c r="C1295" s="1815"/>
      <c r="D1295" s="1818"/>
      <c r="E1295" s="1352" t="s">
        <v>337</v>
      </c>
      <c r="F1295" s="1353">
        <f t="shared" si="119"/>
        <v>803</v>
      </c>
      <c r="G1295" s="1353"/>
      <c r="H1295" s="1353"/>
      <c r="I1295" s="1353">
        <v>803</v>
      </c>
      <c r="J1295" s="1354"/>
    </row>
    <row r="1296" spans="1:10" s="366" customFormat="1" ht="15" customHeight="1">
      <c r="A1296" s="1809"/>
      <c r="B1296" s="1827"/>
      <c r="C1296" s="1815"/>
      <c r="D1296" s="1818"/>
      <c r="E1296" s="1352" t="s">
        <v>393</v>
      </c>
      <c r="F1296" s="1353">
        <f t="shared" si="119"/>
        <v>934</v>
      </c>
      <c r="G1296" s="1353"/>
      <c r="H1296" s="1353">
        <v>934</v>
      </c>
      <c r="I1296" s="1353"/>
      <c r="J1296" s="1354"/>
    </row>
    <row r="1297" spans="1:10" s="366" customFormat="1" ht="15" customHeight="1">
      <c r="A1297" s="1809"/>
      <c r="B1297" s="1827"/>
      <c r="C1297" s="1815"/>
      <c r="D1297" s="1818"/>
      <c r="E1297" s="1352" t="s">
        <v>367</v>
      </c>
      <c r="F1297" s="1353">
        <f t="shared" si="119"/>
        <v>114</v>
      </c>
      <c r="G1297" s="1353"/>
      <c r="H1297" s="1353"/>
      <c r="I1297" s="1353">
        <v>114</v>
      </c>
      <c r="J1297" s="1354"/>
    </row>
    <row r="1298" spans="1:10" s="366" customFormat="1" ht="15" hidden="1" customHeight="1">
      <c r="A1298" s="1809"/>
      <c r="B1298" s="1827"/>
      <c r="C1298" s="1815"/>
      <c r="D1298" s="1818"/>
      <c r="E1298" s="1352" t="s">
        <v>410</v>
      </c>
      <c r="F1298" s="1353">
        <f t="shared" si="119"/>
        <v>0</v>
      </c>
      <c r="G1298" s="1353"/>
      <c r="H1298" s="1353"/>
      <c r="I1298" s="1353"/>
      <c r="J1298" s="1354"/>
    </row>
    <row r="1299" spans="1:10" s="366" customFormat="1" ht="15" hidden="1" customHeight="1">
      <c r="A1299" s="1809"/>
      <c r="B1299" s="1827"/>
      <c r="C1299" s="1815"/>
      <c r="D1299" s="1818"/>
      <c r="E1299" s="1352" t="s">
        <v>339</v>
      </c>
      <c r="F1299" s="1353">
        <f t="shared" si="119"/>
        <v>0</v>
      </c>
      <c r="G1299" s="1353"/>
      <c r="H1299" s="1353"/>
      <c r="I1299" s="1353"/>
      <c r="J1299" s="1354"/>
    </row>
    <row r="1300" spans="1:10" s="366" customFormat="1" ht="22.5">
      <c r="A1300" s="1809"/>
      <c r="B1300" s="1827"/>
      <c r="C1300" s="1815"/>
      <c r="D1300" s="1818"/>
      <c r="E1300" s="1349" t="s">
        <v>340</v>
      </c>
      <c r="F1300" s="1350">
        <f>SUM(F1301:F1308)</f>
        <v>74483</v>
      </c>
      <c r="G1300" s="1350">
        <f>SUM(G1301:G1308)</f>
        <v>0</v>
      </c>
      <c r="H1300" s="1350">
        <f>SUM(H1301:H1308)</f>
        <v>66350</v>
      </c>
      <c r="I1300" s="1350">
        <f>SUM(I1301:I1308)</f>
        <v>8133</v>
      </c>
      <c r="J1300" s="1351">
        <f>SUM(J1301:J1308)</f>
        <v>0</v>
      </c>
    </row>
    <row r="1301" spans="1:10" s="418" customFormat="1" ht="15" customHeight="1">
      <c r="A1301" s="1809"/>
      <c r="B1301" s="1827"/>
      <c r="C1301" s="1815"/>
      <c r="D1301" s="1818"/>
      <c r="E1301" s="1383" t="s">
        <v>411</v>
      </c>
      <c r="F1301" s="1353">
        <f t="shared" ref="F1301:F1308" si="120">SUM(G1301:J1301)</f>
        <v>3257</v>
      </c>
      <c r="G1301" s="1353"/>
      <c r="H1301" s="1353">
        <v>3257</v>
      </c>
      <c r="I1301" s="1353"/>
      <c r="J1301" s="1354"/>
    </row>
    <row r="1302" spans="1:10" s="418" customFormat="1" ht="15" customHeight="1">
      <c r="A1302" s="1809"/>
      <c r="B1302" s="1827"/>
      <c r="C1302" s="1815"/>
      <c r="D1302" s="1818"/>
      <c r="E1302" s="1383" t="s">
        <v>342</v>
      </c>
      <c r="F1302" s="1353">
        <f t="shared" si="120"/>
        <v>407</v>
      </c>
      <c r="G1302" s="1353"/>
      <c r="H1302" s="1353"/>
      <c r="I1302" s="1353">
        <v>407</v>
      </c>
      <c r="J1302" s="1354"/>
    </row>
    <row r="1303" spans="1:10" s="418" customFormat="1" ht="15" customHeight="1">
      <c r="A1303" s="1809"/>
      <c r="B1303" s="1827"/>
      <c r="C1303" s="1815"/>
      <c r="D1303" s="1818"/>
      <c r="E1303" s="1383" t="s">
        <v>394</v>
      </c>
      <c r="F1303" s="1353">
        <f t="shared" si="120"/>
        <v>58816</v>
      </c>
      <c r="G1303" s="1353"/>
      <c r="H1303" s="1353">
        <v>58816</v>
      </c>
      <c r="I1303" s="1353"/>
      <c r="J1303" s="1354"/>
    </row>
    <row r="1304" spans="1:10" s="418" customFormat="1" ht="15" customHeight="1">
      <c r="A1304" s="1809"/>
      <c r="B1304" s="1827"/>
      <c r="C1304" s="1815"/>
      <c r="D1304" s="1818"/>
      <c r="E1304" s="1383" t="s">
        <v>344</v>
      </c>
      <c r="F1304" s="1353">
        <f t="shared" si="120"/>
        <v>7202</v>
      </c>
      <c r="G1304" s="1353"/>
      <c r="H1304" s="1353"/>
      <c r="I1304" s="1353">
        <v>7202</v>
      </c>
      <c r="J1304" s="1354"/>
    </row>
    <row r="1305" spans="1:10" s="418" customFormat="1" ht="15" customHeight="1">
      <c r="A1305" s="1809"/>
      <c r="B1305" s="1827"/>
      <c r="C1305" s="1815"/>
      <c r="D1305" s="1818"/>
      <c r="E1305" s="1383" t="s">
        <v>425</v>
      </c>
      <c r="F1305" s="1353">
        <f t="shared" si="120"/>
        <v>2138</v>
      </c>
      <c r="G1305" s="1353"/>
      <c r="H1305" s="1353">
        <v>2138</v>
      </c>
      <c r="I1305" s="1353"/>
      <c r="J1305" s="1354"/>
    </row>
    <row r="1306" spans="1:10" s="418" customFormat="1" ht="15" customHeight="1">
      <c r="A1306" s="1809"/>
      <c r="B1306" s="1827"/>
      <c r="C1306" s="1815"/>
      <c r="D1306" s="1818"/>
      <c r="E1306" s="1383" t="s">
        <v>426</v>
      </c>
      <c r="F1306" s="1353">
        <f t="shared" si="120"/>
        <v>262</v>
      </c>
      <c r="G1306" s="1353"/>
      <c r="H1306" s="1353"/>
      <c r="I1306" s="1353">
        <v>262</v>
      </c>
      <c r="J1306" s="1354"/>
    </row>
    <row r="1307" spans="1:10" s="418" customFormat="1" ht="15" customHeight="1">
      <c r="A1307" s="1809"/>
      <c r="B1307" s="1827"/>
      <c r="C1307" s="1815"/>
      <c r="D1307" s="1818"/>
      <c r="E1307" s="1383" t="s">
        <v>395</v>
      </c>
      <c r="F1307" s="1353">
        <f t="shared" si="120"/>
        <v>2139</v>
      </c>
      <c r="G1307" s="1353"/>
      <c r="H1307" s="1353">
        <v>2139</v>
      </c>
      <c r="I1307" s="1353"/>
      <c r="J1307" s="1354"/>
    </row>
    <row r="1308" spans="1:10" s="418" customFormat="1" ht="15" customHeight="1">
      <c r="A1308" s="1809"/>
      <c r="B1308" s="1827"/>
      <c r="C1308" s="1815"/>
      <c r="D1308" s="1818"/>
      <c r="E1308" s="1383" t="s">
        <v>346</v>
      </c>
      <c r="F1308" s="1353">
        <f t="shared" si="120"/>
        <v>262</v>
      </c>
      <c r="G1308" s="1353"/>
      <c r="H1308" s="1353"/>
      <c r="I1308" s="1353">
        <v>262</v>
      </c>
      <c r="J1308" s="1354"/>
    </row>
    <row r="1309" spans="1:10" s="366" customFormat="1" ht="13.5" thickBot="1">
      <c r="A1309" s="1810"/>
      <c r="B1309" s="1828"/>
      <c r="C1309" s="1816"/>
      <c r="D1309" s="1819"/>
      <c r="E1309" s="1364" t="s">
        <v>324</v>
      </c>
      <c r="F1309" s="1365">
        <f>SUM(F1310:F1311)</f>
        <v>0</v>
      </c>
      <c r="G1309" s="1365">
        <f>SUM(G1310:G1311)</f>
        <v>0</v>
      </c>
      <c r="H1309" s="1365">
        <f>SUM(H1310:H1311)</f>
        <v>0</v>
      </c>
      <c r="I1309" s="1365">
        <f>SUM(I1310:I1311)</f>
        <v>0</v>
      </c>
      <c r="J1309" s="1366">
        <f>SUM(J1310:J1311)</f>
        <v>0</v>
      </c>
    </row>
    <row r="1310" spans="1:10" s="366" customFormat="1" ht="15" hidden="1" customHeight="1">
      <c r="A1310" s="426"/>
      <c r="B1310" s="1378"/>
      <c r="C1310" s="1368"/>
      <c r="D1310" s="1369"/>
      <c r="E1310" s="424"/>
      <c r="F1310" s="425">
        <f>SUM(G1310:J1310)</f>
        <v>0</v>
      </c>
      <c r="G1310" s="425"/>
      <c r="H1310" s="425"/>
      <c r="I1310" s="425"/>
      <c r="J1310" s="1403"/>
    </row>
    <row r="1311" spans="1:10" s="366" customFormat="1" ht="15" hidden="1" customHeight="1">
      <c r="A1311" s="426"/>
      <c r="B1311" s="1378"/>
      <c r="C1311" s="1368"/>
      <c r="D1311" s="1369"/>
      <c r="E1311" s="1379"/>
      <c r="F1311" s="1380">
        <f>SUM(G1311:J1311)</f>
        <v>0</v>
      </c>
      <c r="G1311" s="1380"/>
      <c r="H1311" s="1380"/>
      <c r="I1311" s="1380"/>
      <c r="J1311" s="1381"/>
    </row>
    <row r="1312" spans="1:10" s="366" customFormat="1" ht="22.5" customHeight="1">
      <c r="A1312" s="1808" t="s">
        <v>327</v>
      </c>
      <c r="B1312" s="1826" t="s">
        <v>543</v>
      </c>
      <c r="C1312" s="1814">
        <v>801</v>
      </c>
      <c r="D1312" s="1817" t="s">
        <v>542</v>
      </c>
      <c r="E1312" s="1361" t="s">
        <v>322</v>
      </c>
      <c r="F1312" s="1362">
        <f>SUM(F1313,F1335)</f>
        <v>145624</v>
      </c>
      <c r="G1312" s="1362">
        <f>SUM(G1313,G1335)</f>
        <v>0</v>
      </c>
      <c r="H1312" s="1362">
        <f>SUM(H1313,H1335)</f>
        <v>129728</v>
      </c>
      <c r="I1312" s="1362">
        <f>SUM(I1313,I1335)</f>
        <v>15896</v>
      </c>
      <c r="J1312" s="1363">
        <f>SUM(J1313,J1335)</f>
        <v>0</v>
      </c>
    </row>
    <row r="1313" spans="1:10" s="366" customFormat="1" ht="21">
      <c r="A1313" s="1809"/>
      <c r="B1313" s="1827"/>
      <c r="C1313" s="1815"/>
      <c r="D1313" s="1818"/>
      <c r="E1313" s="1346" t="s">
        <v>334</v>
      </c>
      <c r="F1313" s="1347">
        <f>SUM(F1314,F1317,F1326)</f>
        <v>145624</v>
      </c>
      <c r="G1313" s="1347">
        <f>SUM(G1314,G1317,G1326)</f>
        <v>0</v>
      </c>
      <c r="H1313" s="1347">
        <f>SUM(H1314,H1317,H1326)</f>
        <v>129728</v>
      </c>
      <c r="I1313" s="1347">
        <f>SUM(I1314,I1317,I1326)</f>
        <v>15896</v>
      </c>
      <c r="J1313" s="1348">
        <f>SUM(J1314,J1317,J1326)</f>
        <v>0</v>
      </c>
    </row>
    <row r="1314" spans="1:10" s="366" customFormat="1" ht="24.95" hidden="1" customHeight="1">
      <c r="A1314" s="1809"/>
      <c r="B1314" s="1827"/>
      <c r="C1314" s="1815"/>
      <c r="D1314" s="1818"/>
      <c r="E1314" s="1349" t="s">
        <v>389</v>
      </c>
      <c r="F1314" s="1350">
        <f>SUM(F1315:F1316)</f>
        <v>0</v>
      </c>
      <c r="G1314" s="1350">
        <f>SUM(G1315:G1316)</f>
        <v>0</v>
      </c>
      <c r="H1314" s="1350">
        <f>SUM(H1315:H1316)</f>
        <v>0</v>
      </c>
      <c r="I1314" s="1350">
        <f>SUM(I1315:I1316)</f>
        <v>0</v>
      </c>
      <c r="J1314" s="1351">
        <f>SUM(J1315:J1316)</f>
        <v>0</v>
      </c>
    </row>
    <row r="1315" spans="1:10" s="366" customFormat="1" ht="15" hidden="1" customHeight="1">
      <c r="A1315" s="1809"/>
      <c r="B1315" s="1827"/>
      <c r="C1315" s="1815"/>
      <c r="D1315" s="1818"/>
      <c r="E1315" s="1383" t="s">
        <v>404</v>
      </c>
      <c r="F1315" s="1353">
        <f>SUM(G1315:J1315)</f>
        <v>0</v>
      </c>
      <c r="G1315" s="1353"/>
      <c r="H1315" s="1353"/>
      <c r="I1315" s="1353"/>
      <c r="J1315" s="1354"/>
    </row>
    <row r="1316" spans="1:10" s="366" customFormat="1" ht="15" hidden="1" customHeight="1">
      <c r="A1316" s="1809"/>
      <c r="B1316" s="1827"/>
      <c r="C1316" s="1815"/>
      <c r="D1316" s="1818"/>
      <c r="E1316" s="1383" t="s">
        <v>437</v>
      </c>
      <c r="F1316" s="1353">
        <f>SUM(G1316:J1316)</f>
        <v>0</v>
      </c>
      <c r="G1316" s="1353"/>
      <c r="H1316" s="1353"/>
      <c r="I1316" s="1353"/>
      <c r="J1316" s="1354"/>
    </row>
    <row r="1317" spans="1:10" s="366" customFormat="1" ht="24.95" customHeight="1">
      <c r="A1317" s="1809"/>
      <c r="B1317" s="1827"/>
      <c r="C1317" s="1815"/>
      <c r="D1317" s="1818"/>
      <c r="E1317" s="1349" t="s">
        <v>335</v>
      </c>
      <c r="F1317" s="1350">
        <f>SUM(F1318:F1325)</f>
        <v>71140</v>
      </c>
      <c r="G1317" s="1350">
        <f>SUM(G1318:G1325)</f>
        <v>0</v>
      </c>
      <c r="H1317" s="1350">
        <f>SUM(H1318:H1325)</f>
        <v>63377</v>
      </c>
      <c r="I1317" s="1350">
        <f>SUM(I1318:I1325)</f>
        <v>7763</v>
      </c>
      <c r="J1317" s="1351">
        <f>SUM(J1318:J1325)</f>
        <v>0</v>
      </c>
    </row>
    <row r="1318" spans="1:10" s="366" customFormat="1" ht="15" customHeight="1">
      <c r="A1318" s="1809"/>
      <c r="B1318" s="1827"/>
      <c r="C1318" s="1815"/>
      <c r="D1318" s="1818"/>
      <c r="E1318" s="1352" t="s">
        <v>391</v>
      </c>
      <c r="F1318" s="1353">
        <f t="shared" ref="F1318:F1325" si="121">SUM(G1318:J1318)</f>
        <v>55883</v>
      </c>
      <c r="G1318" s="1353"/>
      <c r="H1318" s="1353">
        <v>55883</v>
      </c>
      <c r="I1318" s="1353"/>
      <c r="J1318" s="1354"/>
    </row>
    <row r="1319" spans="1:10" s="366" customFormat="1" ht="15" customHeight="1">
      <c r="A1319" s="1809"/>
      <c r="B1319" s="1827"/>
      <c r="C1319" s="1815"/>
      <c r="D1319" s="1818"/>
      <c r="E1319" s="1352" t="s">
        <v>363</v>
      </c>
      <c r="F1319" s="1353">
        <f t="shared" si="121"/>
        <v>6846</v>
      </c>
      <c r="G1319" s="1353"/>
      <c r="H1319" s="1353"/>
      <c r="I1319" s="1353">
        <v>6846</v>
      </c>
      <c r="J1319" s="1354"/>
    </row>
    <row r="1320" spans="1:10" s="366" customFormat="1" ht="15" customHeight="1">
      <c r="A1320" s="1809"/>
      <c r="B1320" s="1827"/>
      <c r="C1320" s="1815"/>
      <c r="D1320" s="1818"/>
      <c r="E1320" s="1352" t="s">
        <v>392</v>
      </c>
      <c r="F1320" s="1353">
        <f t="shared" si="121"/>
        <v>6560</v>
      </c>
      <c r="G1320" s="1353"/>
      <c r="H1320" s="1353">
        <v>6560</v>
      </c>
      <c r="I1320" s="1353"/>
      <c r="J1320" s="1354"/>
    </row>
    <row r="1321" spans="1:10" s="366" customFormat="1" ht="15" customHeight="1">
      <c r="A1321" s="1809"/>
      <c r="B1321" s="1827"/>
      <c r="C1321" s="1815"/>
      <c r="D1321" s="1818"/>
      <c r="E1321" s="1352" t="s">
        <v>337</v>
      </c>
      <c r="F1321" s="1353">
        <f t="shared" si="121"/>
        <v>803</v>
      </c>
      <c r="G1321" s="1353"/>
      <c r="H1321" s="1353"/>
      <c r="I1321" s="1353">
        <v>803</v>
      </c>
      <c r="J1321" s="1354"/>
    </row>
    <row r="1322" spans="1:10" s="366" customFormat="1" ht="15" customHeight="1">
      <c r="A1322" s="1809"/>
      <c r="B1322" s="1827"/>
      <c r="C1322" s="1815"/>
      <c r="D1322" s="1818"/>
      <c r="E1322" s="1352" t="s">
        <v>393</v>
      </c>
      <c r="F1322" s="1353">
        <f t="shared" si="121"/>
        <v>934</v>
      </c>
      <c r="G1322" s="1353"/>
      <c r="H1322" s="1353">
        <v>934</v>
      </c>
      <c r="I1322" s="1353"/>
      <c r="J1322" s="1354"/>
    </row>
    <row r="1323" spans="1:10" s="366" customFormat="1" ht="15" customHeight="1">
      <c r="A1323" s="1809"/>
      <c r="B1323" s="1827"/>
      <c r="C1323" s="1815"/>
      <c r="D1323" s="1818"/>
      <c r="E1323" s="1352" t="s">
        <v>367</v>
      </c>
      <c r="F1323" s="1353">
        <f t="shared" si="121"/>
        <v>114</v>
      </c>
      <c r="G1323" s="1353"/>
      <c r="H1323" s="1353"/>
      <c r="I1323" s="1353">
        <v>114</v>
      </c>
      <c r="J1323" s="1354"/>
    </row>
    <row r="1324" spans="1:10" s="366" customFormat="1" ht="15" hidden="1" customHeight="1">
      <c r="A1324" s="1809"/>
      <c r="B1324" s="1827"/>
      <c r="C1324" s="1815"/>
      <c r="D1324" s="1818"/>
      <c r="E1324" s="1352" t="s">
        <v>410</v>
      </c>
      <c r="F1324" s="1353">
        <f t="shared" si="121"/>
        <v>0</v>
      </c>
      <c r="G1324" s="1353"/>
      <c r="H1324" s="1353"/>
      <c r="I1324" s="1353"/>
      <c r="J1324" s="1354"/>
    </row>
    <row r="1325" spans="1:10" s="366" customFormat="1" ht="15" hidden="1" customHeight="1">
      <c r="A1325" s="1809"/>
      <c r="B1325" s="1827"/>
      <c r="C1325" s="1815"/>
      <c r="D1325" s="1818"/>
      <c r="E1325" s="1352" t="s">
        <v>339</v>
      </c>
      <c r="F1325" s="1353">
        <f t="shared" si="121"/>
        <v>0</v>
      </c>
      <c r="G1325" s="1353"/>
      <c r="H1325" s="1353"/>
      <c r="I1325" s="1353"/>
      <c r="J1325" s="1354"/>
    </row>
    <row r="1326" spans="1:10" s="366" customFormat="1" ht="24.95" customHeight="1">
      <c r="A1326" s="1809"/>
      <c r="B1326" s="1827"/>
      <c r="C1326" s="1815"/>
      <c r="D1326" s="1818"/>
      <c r="E1326" s="1349" t="s">
        <v>340</v>
      </c>
      <c r="F1326" s="1350">
        <f>SUM(F1327:F1334)</f>
        <v>74484</v>
      </c>
      <c r="G1326" s="1350">
        <f>SUM(G1327:G1334)</f>
        <v>0</v>
      </c>
      <c r="H1326" s="1350">
        <f>SUM(H1327:H1334)</f>
        <v>66351</v>
      </c>
      <c r="I1326" s="1350">
        <f>SUM(I1327:I1334)</f>
        <v>8133</v>
      </c>
      <c r="J1326" s="1351">
        <f>SUM(J1327:J1334)</f>
        <v>0</v>
      </c>
    </row>
    <row r="1327" spans="1:10" s="418" customFormat="1" ht="15" customHeight="1">
      <c r="A1327" s="1809"/>
      <c r="B1327" s="1827"/>
      <c r="C1327" s="1815"/>
      <c r="D1327" s="1818"/>
      <c r="E1327" s="1383" t="s">
        <v>411</v>
      </c>
      <c r="F1327" s="1353">
        <f t="shared" ref="F1327:F1334" si="122">SUM(G1327:J1327)</f>
        <v>3257</v>
      </c>
      <c r="G1327" s="1353"/>
      <c r="H1327" s="1353">
        <v>3257</v>
      </c>
      <c r="I1327" s="1353"/>
      <c r="J1327" s="1354"/>
    </row>
    <row r="1328" spans="1:10" s="418" customFormat="1" ht="15" customHeight="1">
      <c r="A1328" s="1809"/>
      <c r="B1328" s="1827"/>
      <c r="C1328" s="1815"/>
      <c r="D1328" s="1818"/>
      <c r="E1328" s="1383" t="s">
        <v>342</v>
      </c>
      <c r="F1328" s="1353">
        <f t="shared" si="122"/>
        <v>407</v>
      </c>
      <c r="G1328" s="1353"/>
      <c r="H1328" s="1353"/>
      <c r="I1328" s="1353">
        <v>407</v>
      </c>
      <c r="J1328" s="1354"/>
    </row>
    <row r="1329" spans="1:10" s="418" customFormat="1" ht="15" customHeight="1">
      <c r="A1329" s="1809"/>
      <c r="B1329" s="1827"/>
      <c r="C1329" s="1815"/>
      <c r="D1329" s="1818"/>
      <c r="E1329" s="1383" t="s">
        <v>394</v>
      </c>
      <c r="F1329" s="1353">
        <f t="shared" si="122"/>
        <v>58816</v>
      </c>
      <c r="G1329" s="1353"/>
      <c r="H1329" s="1353">
        <v>58816</v>
      </c>
      <c r="I1329" s="1353"/>
      <c r="J1329" s="1354"/>
    </row>
    <row r="1330" spans="1:10" s="418" customFormat="1" ht="15" customHeight="1">
      <c r="A1330" s="1809"/>
      <c r="B1330" s="1827"/>
      <c r="C1330" s="1815"/>
      <c r="D1330" s="1818"/>
      <c r="E1330" s="1383" t="s">
        <v>344</v>
      </c>
      <c r="F1330" s="1353">
        <f t="shared" si="122"/>
        <v>7202</v>
      </c>
      <c r="G1330" s="1353"/>
      <c r="H1330" s="1353"/>
      <c r="I1330" s="1353">
        <v>7202</v>
      </c>
      <c r="J1330" s="1354"/>
    </row>
    <row r="1331" spans="1:10" s="418" customFormat="1" ht="15" customHeight="1">
      <c r="A1331" s="1809"/>
      <c r="B1331" s="1827"/>
      <c r="C1331" s="1815"/>
      <c r="D1331" s="1818"/>
      <c r="E1331" s="1383" t="s">
        <v>425</v>
      </c>
      <c r="F1331" s="1353">
        <f t="shared" si="122"/>
        <v>2138</v>
      </c>
      <c r="G1331" s="1353"/>
      <c r="H1331" s="1353">
        <v>2138</v>
      </c>
      <c r="I1331" s="1353"/>
      <c r="J1331" s="1354"/>
    </row>
    <row r="1332" spans="1:10" s="418" customFormat="1" ht="15" customHeight="1">
      <c r="A1332" s="1809"/>
      <c r="B1332" s="1827"/>
      <c r="C1332" s="1815"/>
      <c r="D1332" s="1818"/>
      <c r="E1332" s="1383" t="s">
        <v>426</v>
      </c>
      <c r="F1332" s="1353">
        <f t="shared" si="122"/>
        <v>262</v>
      </c>
      <c r="G1332" s="1353"/>
      <c r="H1332" s="1353"/>
      <c r="I1332" s="1353">
        <v>262</v>
      </c>
      <c r="J1332" s="1354"/>
    </row>
    <row r="1333" spans="1:10" s="418" customFormat="1" ht="15" customHeight="1">
      <c r="A1333" s="1809"/>
      <c r="B1333" s="1827"/>
      <c r="C1333" s="1815"/>
      <c r="D1333" s="1818"/>
      <c r="E1333" s="1383" t="s">
        <v>395</v>
      </c>
      <c r="F1333" s="1353">
        <f t="shared" si="122"/>
        <v>2140</v>
      </c>
      <c r="G1333" s="1353"/>
      <c r="H1333" s="1353">
        <v>2140</v>
      </c>
      <c r="I1333" s="1353"/>
      <c r="J1333" s="1354"/>
    </row>
    <row r="1334" spans="1:10" s="418" customFormat="1" ht="15" customHeight="1">
      <c r="A1334" s="1809"/>
      <c r="B1334" s="1827"/>
      <c r="C1334" s="1815"/>
      <c r="D1334" s="1818"/>
      <c r="E1334" s="1383" t="s">
        <v>346</v>
      </c>
      <c r="F1334" s="1353">
        <f t="shared" si="122"/>
        <v>262</v>
      </c>
      <c r="G1334" s="1353"/>
      <c r="H1334" s="1353"/>
      <c r="I1334" s="1353">
        <v>262</v>
      </c>
      <c r="J1334" s="1354"/>
    </row>
    <row r="1335" spans="1:10" s="366" customFormat="1" ht="19.5" customHeight="1" thickBot="1">
      <c r="A1335" s="1810"/>
      <c r="B1335" s="1828"/>
      <c r="C1335" s="1816"/>
      <c r="D1335" s="1819"/>
      <c r="E1335" s="1364" t="s">
        <v>324</v>
      </c>
      <c r="F1335" s="1365">
        <f>SUM(F1336:F1337)</f>
        <v>0</v>
      </c>
      <c r="G1335" s="1365">
        <f>SUM(G1336:G1337)</f>
        <v>0</v>
      </c>
      <c r="H1335" s="1365">
        <f>SUM(H1336:H1337)</f>
        <v>0</v>
      </c>
      <c r="I1335" s="1365">
        <f>SUM(I1336:I1337)</f>
        <v>0</v>
      </c>
      <c r="J1335" s="1366">
        <f>SUM(J1336:J1337)</f>
        <v>0</v>
      </c>
    </row>
    <row r="1336" spans="1:10" s="366" customFormat="1" ht="15" hidden="1" customHeight="1">
      <c r="A1336" s="426"/>
      <c r="B1336" s="1378"/>
      <c r="C1336" s="1368"/>
      <c r="D1336" s="1369"/>
      <c r="E1336" s="424"/>
      <c r="F1336" s="425">
        <f>SUM(G1336:J1336)</f>
        <v>0</v>
      </c>
      <c r="G1336" s="425"/>
      <c r="H1336" s="425"/>
      <c r="I1336" s="425"/>
      <c r="J1336" s="1403"/>
    </row>
    <row r="1337" spans="1:10" s="366" customFormat="1" ht="15" hidden="1" customHeight="1">
      <c r="A1337" s="426"/>
      <c r="B1337" s="1378"/>
      <c r="C1337" s="1368"/>
      <c r="D1337" s="1369"/>
      <c r="E1337" s="1379"/>
      <c r="F1337" s="1380">
        <f>SUM(G1337:J1337)</f>
        <v>0</v>
      </c>
      <c r="G1337" s="1380"/>
      <c r="H1337" s="1380"/>
      <c r="I1337" s="1380"/>
      <c r="J1337" s="1381"/>
    </row>
    <row r="1338" spans="1:10" s="366" customFormat="1" ht="22.5" customHeight="1">
      <c r="A1338" s="1808" t="s">
        <v>331</v>
      </c>
      <c r="B1338" s="1826" t="s">
        <v>544</v>
      </c>
      <c r="C1338" s="1814">
        <v>801</v>
      </c>
      <c r="D1338" s="1817" t="s">
        <v>542</v>
      </c>
      <c r="E1338" s="1361" t="s">
        <v>322</v>
      </c>
      <c r="F1338" s="1362">
        <f>SUM(F1339,F1363)</f>
        <v>487406</v>
      </c>
      <c r="G1338" s="1362">
        <f>SUM(G1339,G1363)</f>
        <v>0</v>
      </c>
      <c r="H1338" s="1362">
        <f>SUM(H1339,H1363)</f>
        <v>482826</v>
      </c>
      <c r="I1338" s="1362">
        <f>SUM(I1339,I1363)</f>
        <v>4580</v>
      </c>
      <c r="J1338" s="1363">
        <f>SUM(J1339,J1363)</f>
        <v>0</v>
      </c>
    </row>
    <row r="1339" spans="1:10" s="366" customFormat="1" ht="21">
      <c r="A1339" s="1809"/>
      <c r="B1339" s="1827"/>
      <c r="C1339" s="1815"/>
      <c r="D1339" s="1818"/>
      <c r="E1339" s="1346" t="s">
        <v>334</v>
      </c>
      <c r="F1339" s="1347">
        <f>SUM(F1340,F1343,F1350)</f>
        <v>487406</v>
      </c>
      <c r="G1339" s="1347">
        <f>SUM(G1340,G1343,G1350)</f>
        <v>0</v>
      </c>
      <c r="H1339" s="1347">
        <f>SUM(H1340,H1343,H1350)</f>
        <v>482826</v>
      </c>
      <c r="I1339" s="1347">
        <f>SUM(I1340,I1343,I1350)</f>
        <v>4580</v>
      </c>
      <c r="J1339" s="1348">
        <f>SUM(J1340,J1343,J1350)</f>
        <v>0</v>
      </c>
    </row>
    <row r="1340" spans="1:10" s="366" customFormat="1" ht="24.95" customHeight="1">
      <c r="A1340" s="1809"/>
      <c r="B1340" s="1827"/>
      <c r="C1340" s="1815"/>
      <c r="D1340" s="1818"/>
      <c r="E1340" s="1349" t="s">
        <v>389</v>
      </c>
      <c r="F1340" s="1350">
        <f>SUM(F1341:F1342)</f>
        <v>243388</v>
      </c>
      <c r="G1340" s="1350">
        <f>SUM(G1341:G1342)</f>
        <v>0</v>
      </c>
      <c r="H1340" s="1350">
        <f>SUM(H1341:H1342)</f>
        <v>241083</v>
      </c>
      <c r="I1340" s="1350">
        <f>SUM(I1341:I1342)</f>
        <v>2305</v>
      </c>
      <c r="J1340" s="1351">
        <f>SUM(J1341:J1342)</f>
        <v>0</v>
      </c>
    </row>
    <row r="1341" spans="1:10" s="366" customFormat="1" ht="15" customHeight="1">
      <c r="A1341" s="1809"/>
      <c r="B1341" s="1827"/>
      <c r="C1341" s="1815"/>
      <c r="D1341" s="1818"/>
      <c r="E1341" s="1383" t="s">
        <v>404</v>
      </c>
      <c r="F1341" s="1353">
        <f>SUM(G1341:J1341)</f>
        <v>241083</v>
      </c>
      <c r="G1341" s="1353"/>
      <c r="H1341" s="1353">
        <v>241083</v>
      </c>
      <c r="I1341" s="1353"/>
      <c r="J1341" s="1354"/>
    </row>
    <row r="1342" spans="1:10" s="366" customFormat="1" ht="15" customHeight="1">
      <c r="A1342" s="1809"/>
      <c r="B1342" s="1827"/>
      <c r="C1342" s="1815"/>
      <c r="D1342" s="1818"/>
      <c r="E1342" s="1383" t="s">
        <v>437</v>
      </c>
      <c r="F1342" s="1353">
        <f>SUM(G1342:J1342)</f>
        <v>2305</v>
      </c>
      <c r="G1342" s="1353"/>
      <c r="H1342" s="1353"/>
      <c r="I1342" s="1353">
        <v>2305</v>
      </c>
      <c r="J1342" s="1354"/>
    </row>
    <row r="1343" spans="1:10" s="366" customFormat="1" ht="24.95" customHeight="1">
      <c r="A1343" s="1809"/>
      <c r="B1343" s="1827"/>
      <c r="C1343" s="1815"/>
      <c r="D1343" s="1818"/>
      <c r="E1343" s="1349" t="s">
        <v>335</v>
      </c>
      <c r="F1343" s="1350">
        <f>SUM(F1344:F1349)</f>
        <v>72780</v>
      </c>
      <c r="G1343" s="1350">
        <f>SUM(G1344:G1349)</f>
        <v>0</v>
      </c>
      <c r="H1343" s="1350">
        <f>SUM(H1344:H1349)</f>
        <v>71991</v>
      </c>
      <c r="I1343" s="1350">
        <f>SUM(I1344:I1349)</f>
        <v>789</v>
      </c>
      <c r="J1343" s="1351">
        <f>SUM(J1344:J1349)</f>
        <v>0</v>
      </c>
    </row>
    <row r="1344" spans="1:10" s="366" customFormat="1" ht="15" customHeight="1">
      <c r="A1344" s="1809"/>
      <c r="B1344" s="1827"/>
      <c r="C1344" s="1815"/>
      <c r="D1344" s="1818"/>
      <c r="E1344" s="1352" t="s">
        <v>391</v>
      </c>
      <c r="F1344" s="1353">
        <f t="shared" ref="F1344:F1349" si="123">SUM(G1344:J1344)</f>
        <v>60173</v>
      </c>
      <c r="G1344" s="1353"/>
      <c r="H1344" s="1353">
        <v>60173</v>
      </c>
      <c r="I1344" s="1353"/>
      <c r="J1344" s="1354"/>
    </row>
    <row r="1345" spans="1:10" s="366" customFormat="1" ht="15" customHeight="1">
      <c r="A1345" s="1809"/>
      <c r="B1345" s="1827"/>
      <c r="C1345" s="1815"/>
      <c r="D1345" s="1818"/>
      <c r="E1345" s="1352" t="s">
        <v>363</v>
      </c>
      <c r="F1345" s="1353">
        <f t="shared" si="123"/>
        <v>683</v>
      </c>
      <c r="G1345" s="1353"/>
      <c r="H1345" s="1353"/>
      <c r="I1345" s="1353">
        <v>683</v>
      </c>
      <c r="J1345" s="1354"/>
    </row>
    <row r="1346" spans="1:10" s="366" customFormat="1" ht="15" customHeight="1">
      <c r="A1346" s="1809"/>
      <c r="B1346" s="1827"/>
      <c r="C1346" s="1815"/>
      <c r="D1346" s="1818"/>
      <c r="E1346" s="1352" t="s">
        <v>392</v>
      </c>
      <c r="F1346" s="1353">
        <f t="shared" si="123"/>
        <v>10343</v>
      </c>
      <c r="G1346" s="1353"/>
      <c r="H1346" s="1353">
        <v>10343</v>
      </c>
      <c r="I1346" s="1353"/>
      <c r="J1346" s="1354"/>
    </row>
    <row r="1347" spans="1:10" s="366" customFormat="1" ht="15" customHeight="1">
      <c r="A1347" s="1809"/>
      <c r="B1347" s="1827"/>
      <c r="C1347" s="1815"/>
      <c r="D1347" s="1818"/>
      <c r="E1347" s="1352" t="s">
        <v>337</v>
      </c>
      <c r="F1347" s="1353">
        <f t="shared" si="123"/>
        <v>93</v>
      </c>
      <c r="G1347" s="1353"/>
      <c r="H1347" s="1353"/>
      <c r="I1347" s="1353">
        <v>93</v>
      </c>
      <c r="J1347" s="1354"/>
    </row>
    <row r="1348" spans="1:10" s="366" customFormat="1" ht="15" customHeight="1">
      <c r="A1348" s="1809"/>
      <c r="B1348" s="1827"/>
      <c r="C1348" s="1815"/>
      <c r="D1348" s="1818"/>
      <c r="E1348" s="1352" t="s">
        <v>393</v>
      </c>
      <c r="F1348" s="1353">
        <f t="shared" si="123"/>
        <v>1475</v>
      </c>
      <c r="G1348" s="1353"/>
      <c r="H1348" s="1353">
        <v>1475</v>
      </c>
      <c r="I1348" s="1353"/>
      <c r="J1348" s="1354"/>
    </row>
    <row r="1349" spans="1:10" s="366" customFormat="1" ht="15" customHeight="1">
      <c r="A1349" s="1809"/>
      <c r="B1349" s="1827"/>
      <c r="C1349" s="1815"/>
      <c r="D1349" s="1818"/>
      <c r="E1349" s="1352" t="s">
        <v>367</v>
      </c>
      <c r="F1349" s="1353">
        <f t="shared" si="123"/>
        <v>13</v>
      </c>
      <c r="G1349" s="1353"/>
      <c r="H1349" s="1353"/>
      <c r="I1349" s="1353">
        <v>13</v>
      </c>
      <c r="J1349" s="1354"/>
    </row>
    <row r="1350" spans="1:10" s="366" customFormat="1" ht="24.95" customHeight="1">
      <c r="A1350" s="1809"/>
      <c r="B1350" s="1827"/>
      <c r="C1350" s="1815"/>
      <c r="D1350" s="1818"/>
      <c r="E1350" s="1349" t="s">
        <v>340</v>
      </c>
      <c r="F1350" s="1350">
        <f>SUM(F1351:F1362)</f>
        <v>171238</v>
      </c>
      <c r="G1350" s="1350">
        <f>SUM(G1351:G1362)</f>
        <v>0</v>
      </c>
      <c r="H1350" s="1350">
        <f>SUM(H1351:H1362)</f>
        <v>169752</v>
      </c>
      <c r="I1350" s="1350">
        <f>SUM(I1351:I1362)</f>
        <v>1486</v>
      </c>
      <c r="J1350" s="1351">
        <f>SUM(J1351:J1362)</f>
        <v>0</v>
      </c>
    </row>
    <row r="1351" spans="1:10" s="418" customFormat="1" ht="15" hidden="1" customHeight="1">
      <c r="A1351" s="1809"/>
      <c r="B1351" s="1827"/>
      <c r="C1351" s="1815"/>
      <c r="D1351" s="1818"/>
      <c r="E1351" s="1383" t="s">
        <v>545</v>
      </c>
      <c r="F1351" s="1353">
        <f t="shared" ref="F1351:F1362" si="124">SUM(G1351:J1351)</f>
        <v>0</v>
      </c>
      <c r="G1351" s="1353"/>
      <c r="H1351" s="1353"/>
      <c r="I1351" s="1353"/>
      <c r="J1351" s="1354"/>
    </row>
    <row r="1352" spans="1:10" s="418" customFormat="1" ht="15" hidden="1" customHeight="1">
      <c r="A1352" s="1809"/>
      <c r="B1352" s="1827"/>
      <c r="C1352" s="1815"/>
      <c r="D1352" s="1818"/>
      <c r="E1352" s="1383" t="s">
        <v>371</v>
      </c>
      <c r="F1352" s="1353">
        <f t="shared" si="124"/>
        <v>0</v>
      </c>
      <c r="G1352" s="1353"/>
      <c r="H1352" s="1353"/>
      <c r="I1352" s="1353"/>
      <c r="J1352" s="1354"/>
    </row>
    <row r="1353" spans="1:10" s="418" customFormat="1" ht="15" customHeight="1">
      <c r="A1353" s="1809"/>
      <c r="B1353" s="1827"/>
      <c r="C1353" s="1815"/>
      <c r="D1353" s="1818"/>
      <c r="E1353" s="1383" t="s">
        <v>411</v>
      </c>
      <c r="F1353" s="1353">
        <f t="shared" si="124"/>
        <v>64415</v>
      </c>
      <c r="G1353" s="1353"/>
      <c r="H1353" s="1353">
        <v>64415</v>
      </c>
      <c r="I1353" s="1353"/>
      <c r="J1353" s="1354"/>
    </row>
    <row r="1354" spans="1:10" s="418" customFormat="1" ht="15" customHeight="1">
      <c r="A1354" s="1809"/>
      <c r="B1354" s="1827"/>
      <c r="C1354" s="1815"/>
      <c r="D1354" s="1818"/>
      <c r="E1354" s="1383" t="s">
        <v>342</v>
      </c>
      <c r="F1354" s="1353">
        <f t="shared" si="124"/>
        <v>585</v>
      </c>
      <c r="G1354" s="1353"/>
      <c r="H1354" s="1353"/>
      <c r="I1354" s="1353">
        <v>585</v>
      </c>
      <c r="J1354" s="1354"/>
    </row>
    <row r="1355" spans="1:10" s="418" customFormat="1" ht="15" customHeight="1">
      <c r="A1355" s="1809"/>
      <c r="B1355" s="1827"/>
      <c r="C1355" s="1815"/>
      <c r="D1355" s="1818"/>
      <c r="E1355" s="1383" t="s">
        <v>546</v>
      </c>
      <c r="F1355" s="1353">
        <f t="shared" si="124"/>
        <v>1982</v>
      </c>
      <c r="G1355" s="1353"/>
      <c r="H1355" s="1353">
        <v>1982</v>
      </c>
      <c r="I1355" s="1353"/>
      <c r="J1355" s="1354"/>
    </row>
    <row r="1356" spans="1:10" s="418" customFormat="1" ht="15" customHeight="1">
      <c r="A1356" s="1809"/>
      <c r="B1356" s="1827"/>
      <c r="C1356" s="1815"/>
      <c r="D1356" s="1818"/>
      <c r="E1356" s="1383" t="s">
        <v>547</v>
      </c>
      <c r="F1356" s="1353">
        <f t="shared" si="124"/>
        <v>18</v>
      </c>
      <c r="G1356" s="1353"/>
      <c r="H1356" s="1353"/>
      <c r="I1356" s="1353">
        <v>18</v>
      </c>
      <c r="J1356" s="1354"/>
    </row>
    <row r="1357" spans="1:10" s="418" customFormat="1" ht="15" customHeight="1">
      <c r="A1357" s="1809"/>
      <c r="B1357" s="1827"/>
      <c r="C1357" s="1815"/>
      <c r="D1357" s="1818"/>
      <c r="E1357" s="1383" t="s">
        <v>424</v>
      </c>
      <c r="F1357" s="1353">
        <f t="shared" si="124"/>
        <v>34685</v>
      </c>
      <c r="G1357" s="1353"/>
      <c r="H1357" s="1353">
        <v>34685</v>
      </c>
      <c r="I1357" s="1353"/>
      <c r="J1357" s="1354"/>
    </row>
    <row r="1358" spans="1:10" s="418" customFormat="1" ht="15" customHeight="1">
      <c r="A1358" s="1809"/>
      <c r="B1358" s="1827"/>
      <c r="C1358" s="1815"/>
      <c r="D1358" s="1818"/>
      <c r="E1358" s="1383" t="s">
        <v>373</v>
      </c>
      <c r="F1358" s="1353">
        <f t="shared" si="124"/>
        <v>315</v>
      </c>
      <c r="G1358" s="1353"/>
      <c r="H1358" s="1353"/>
      <c r="I1358" s="1353">
        <v>315</v>
      </c>
      <c r="J1358" s="1354"/>
    </row>
    <row r="1359" spans="1:10" s="418" customFormat="1" ht="15" customHeight="1">
      <c r="A1359" s="1809"/>
      <c r="B1359" s="1827"/>
      <c r="C1359" s="1815"/>
      <c r="D1359" s="1818"/>
      <c r="E1359" s="1383" t="s">
        <v>394</v>
      </c>
      <c r="F1359" s="1353">
        <f t="shared" si="124"/>
        <v>63665</v>
      </c>
      <c r="G1359" s="1353"/>
      <c r="H1359" s="1353">
        <v>63665</v>
      </c>
      <c r="I1359" s="1353"/>
      <c r="J1359" s="1354"/>
    </row>
    <row r="1360" spans="1:10" s="418" customFormat="1" ht="15" customHeight="1">
      <c r="A1360" s="1809"/>
      <c r="B1360" s="1827"/>
      <c r="C1360" s="1815"/>
      <c r="D1360" s="1818"/>
      <c r="E1360" s="1383" t="s">
        <v>344</v>
      </c>
      <c r="F1360" s="1353">
        <f t="shared" si="124"/>
        <v>518</v>
      </c>
      <c r="G1360" s="1353"/>
      <c r="H1360" s="1353"/>
      <c r="I1360" s="1353">
        <v>518</v>
      </c>
      <c r="J1360" s="1354"/>
    </row>
    <row r="1361" spans="1:10" s="418" customFormat="1" ht="15" customHeight="1">
      <c r="A1361" s="1809"/>
      <c r="B1361" s="1827"/>
      <c r="C1361" s="1815"/>
      <c r="D1361" s="1818"/>
      <c r="E1361" s="1383" t="s">
        <v>395</v>
      </c>
      <c r="F1361" s="1353">
        <f t="shared" si="124"/>
        <v>5005</v>
      </c>
      <c r="G1361" s="1353"/>
      <c r="H1361" s="1353">
        <v>5005</v>
      </c>
      <c r="I1361" s="1353"/>
      <c r="J1361" s="1354"/>
    </row>
    <row r="1362" spans="1:10" s="418" customFormat="1" ht="15" customHeight="1">
      <c r="A1362" s="1809"/>
      <c r="B1362" s="1827"/>
      <c r="C1362" s="1815"/>
      <c r="D1362" s="1818"/>
      <c r="E1362" s="1383" t="s">
        <v>346</v>
      </c>
      <c r="F1362" s="1353">
        <f t="shared" si="124"/>
        <v>50</v>
      </c>
      <c r="G1362" s="1353"/>
      <c r="H1362" s="1353"/>
      <c r="I1362" s="1353">
        <v>50</v>
      </c>
      <c r="J1362" s="1354"/>
    </row>
    <row r="1363" spans="1:10" s="366" customFormat="1" ht="19.5" customHeight="1" thickBot="1">
      <c r="A1363" s="1810"/>
      <c r="B1363" s="1828"/>
      <c r="C1363" s="1816"/>
      <c r="D1363" s="1819"/>
      <c r="E1363" s="1364" t="s">
        <v>324</v>
      </c>
      <c r="F1363" s="1365">
        <f>SUM(F1364:F1365)</f>
        <v>0</v>
      </c>
      <c r="G1363" s="1365">
        <f>SUM(G1364:G1365)</f>
        <v>0</v>
      </c>
      <c r="H1363" s="1365">
        <f>SUM(H1364:H1365)</f>
        <v>0</v>
      </c>
      <c r="I1363" s="1365">
        <f>SUM(I1364:I1365)</f>
        <v>0</v>
      </c>
      <c r="J1363" s="1366">
        <f>SUM(J1364:J1365)</f>
        <v>0</v>
      </c>
    </row>
    <row r="1364" spans="1:10" s="366" customFormat="1" ht="15" hidden="1" customHeight="1">
      <c r="A1364" s="426"/>
      <c r="B1364" s="1378"/>
      <c r="C1364" s="1368"/>
      <c r="D1364" s="1369"/>
      <c r="E1364" s="424"/>
      <c r="F1364" s="425">
        <f>SUM(G1364:J1364)</f>
        <v>0</v>
      </c>
      <c r="G1364" s="425"/>
      <c r="H1364" s="425"/>
      <c r="I1364" s="425"/>
      <c r="J1364" s="1403"/>
    </row>
    <row r="1365" spans="1:10" s="366" customFormat="1" ht="15" hidden="1" customHeight="1">
      <c r="A1365" s="426"/>
      <c r="B1365" s="1378"/>
      <c r="C1365" s="1368"/>
      <c r="D1365" s="1369"/>
      <c r="E1365" s="1379"/>
      <c r="F1365" s="1380">
        <f>SUM(G1365:J1365)</f>
        <v>0</v>
      </c>
      <c r="G1365" s="1380"/>
      <c r="H1365" s="1380"/>
      <c r="I1365" s="1380"/>
      <c r="J1365" s="1381"/>
    </row>
    <row r="1366" spans="1:10" s="366" customFormat="1" ht="22.5">
      <c r="A1366" s="1808" t="s">
        <v>350</v>
      </c>
      <c r="B1366" s="1826" t="s">
        <v>548</v>
      </c>
      <c r="C1366" s="1814">
        <v>801</v>
      </c>
      <c r="D1366" s="1817" t="s">
        <v>542</v>
      </c>
      <c r="E1366" s="1361" t="s">
        <v>322</v>
      </c>
      <c r="F1366" s="1362">
        <f>SUM(F1367,F1391)</f>
        <v>454877</v>
      </c>
      <c r="G1366" s="1362">
        <f>SUM(G1367,G1391)</f>
        <v>0</v>
      </c>
      <c r="H1366" s="1362">
        <f>SUM(H1367,H1391)</f>
        <v>453434</v>
      </c>
      <c r="I1366" s="1362">
        <f>SUM(I1367,I1391)</f>
        <v>1443</v>
      </c>
      <c r="J1366" s="1363">
        <f>SUM(J1367,J1391)</f>
        <v>0</v>
      </c>
    </row>
    <row r="1367" spans="1:10" s="366" customFormat="1" ht="21">
      <c r="A1367" s="1809"/>
      <c r="B1367" s="1827"/>
      <c r="C1367" s="1815"/>
      <c r="D1367" s="1818"/>
      <c r="E1367" s="1346" t="s">
        <v>334</v>
      </c>
      <c r="F1367" s="1347">
        <f>SUM(F1368,F1371,F1378)</f>
        <v>454877</v>
      </c>
      <c r="G1367" s="1347">
        <f>SUM(G1368,G1371,G1378)</f>
        <v>0</v>
      </c>
      <c r="H1367" s="1347">
        <f>SUM(H1368,H1371,H1378)</f>
        <v>453434</v>
      </c>
      <c r="I1367" s="1347">
        <f>SUM(I1368,I1371,I1378)</f>
        <v>1443</v>
      </c>
      <c r="J1367" s="1348">
        <f>SUM(J1368,J1371,J1378)</f>
        <v>0</v>
      </c>
    </row>
    <row r="1368" spans="1:10" s="366" customFormat="1" ht="24.95" customHeight="1">
      <c r="A1368" s="1809"/>
      <c r="B1368" s="1827"/>
      <c r="C1368" s="1815"/>
      <c r="D1368" s="1818"/>
      <c r="E1368" s="1349" t="s">
        <v>389</v>
      </c>
      <c r="F1368" s="1350">
        <f>SUM(F1369:F1370)</f>
        <v>238980</v>
      </c>
      <c r="G1368" s="1350">
        <f>SUM(G1369:G1370)</f>
        <v>0</v>
      </c>
      <c r="H1368" s="1350">
        <f>SUM(H1369:H1370)</f>
        <v>238239</v>
      </c>
      <c r="I1368" s="1350">
        <f>SUM(I1369:I1370)</f>
        <v>741</v>
      </c>
      <c r="J1368" s="1351">
        <f>SUM(J1369:J1370)</f>
        <v>0</v>
      </c>
    </row>
    <row r="1369" spans="1:10" s="366" customFormat="1" ht="15" customHeight="1">
      <c r="A1369" s="1809"/>
      <c r="B1369" s="1827"/>
      <c r="C1369" s="1815"/>
      <c r="D1369" s="1818"/>
      <c r="E1369" s="1383" t="s">
        <v>404</v>
      </c>
      <c r="F1369" s="1353">
        <f>SUM(G1369:J1369)</f>
        <v>238239</v>
      </c>
      <c r="G1369" s="1353"/>
      <c r="H1369" s="1353">
        <v>238239</v>
      </c>
      <c r="I1369" s="1353"/>
      <c r="J1369" s="1354"/>
    </row>
    <row r="1370" spans="1:10" s="366" customFormat="1" ht="15" customHeight="1">
      <c r="A1370" s="1809"/>
      <c r="B1370" s="1827"/>
      <c r="C1370" s="1815"/>
      <c r="D1370" s="1818"/>
      <c r="E1370" s="1383" t="s">
        <v>437</v>
      </c>
      <c r="F1370" s="1353">
        <f>SUM(G1370:J1370)</f>
        <v>741</v>
      </c>
      <c r="G1370" s="1353"/>
      <c r="H1370" s="1353"/>
      <c r="I1370" s="1353">
        <v>741</v>
      </c>
      <c r="J1370" s="1354"/>
    </row>
    <row r="1371" spans="1:10" s="366" customFormat="1" ht="24.95" customHeight="1">
      <c r="A1371" s="1809"/>
      <c r="B1371" s="1827"/>
      <c r="C1371" s="1815"/>
      <c r="D1371" s="1818"/>
      <c r="E1371" s="1349" t="s">
        <v>335</v>
      </c>
      <c r="F1371" s="1350">
        <f>SUM(F1372:F1377)</f>
        <v>72646</v>
      </c>
      <c r="G1371" s="1350">
        <f>SUM(G1372:G1377)</f>
        <v>0</v>
      </c>
      <c r="H1371" s="1350">
        <f>SUM(H1372:H1377)</f>
        <v>72389</v>
      </c>
      <c r="I1371" s="1350">
        <f>SUM(I1372:I1377)</f>
        <v>257</v>
      </c>
      <c r="J1371" s="1351">
        <f>SUM(J1372:J1377)</f>
        <v>0</v>
      </c>
    </row>
    <row r="1372" spans="1:10" s="366" customFormat="1" ht="15" customHeight="1">
      <c r="A1372" s="1809"/>
      <c r="B1372" s="1827"/>
      <c r="C1372" s="1815"/>
      <c r="D1372" s="1818"/>
      <c r="E1372" s="1352" t="s">
        <v>391</v>
      </c>
      <c r="F1372" s="1353">
        <f t="shared" ref="F1372:F1377" si="125">SUM(G1372:J1372)</f>
        <v>60508</v>
      </c>
      <c r="G1372" s="1353"/>
      <c r="H1372" s="1353">
        <v>60508</v>
      </c>
      <c r="I1372" s="1353"/>
      <c r="J1372" s="1354"/>
    </row>
    <row r="1373" spans="1:10" s="366" customFormat="1" ht="15" customHeight="1">
      <c r="A1373" s="1809"/>
      <c r="B1373" s="1827"/>
      <c r="C1373" s="1815"/>
      <c r="D1373" s="1818"/>
      <c r="E1373" s="1352" t="s">
        <v>363</v>
      </c>
      <c r="F1373" s="1353">
        <f t="shared" si="125"/>
        <v>182</v>
      </c>
      <c r="G1373" s="1353"/>
      <c r="H1373" s="1353"/>
      <c r="I1373" s="1353">
        <v>182</v>
      </c>
      <c r="J1373" s="1354"/>
    </row>
    <row r="1374" spans="1:10" s="366" customFormat="1" ht="15" customHeight="1">
      <c r="A1374" s="1809"/>
      <c r="B1374" s="1827"/>
      <c r="C1374" s="1815"/>
      <c r="D1374" s="1818"/>
      <c r="E1374" s="1352" t="s">
        <v>392</v>
      </c>
      <c r="F1374" s="1353">
        <f t="shared" si="125"/>
        <v>10400</v>
      </c>
      <c r="G1374" s="1353"/>
      <c r="H1374" s="1353">
        <v>10400</v>
      </c>
      <c r="I1374" s="1353"/>
      <c r="J1374" s="1354"/>
    </row>
    <row r="1375" spans="1:10" s="366" customFormat="1" ht="15" customHeight="1">
      <c r="A1375" s="1809"/>
      <c r="B1375" s="1827"/>
      <c r="C1375" s="1815"/>
      <c r="D1375" s="1818"/>
      <c r="E1375" s="1352" t="s">
        <v>337</v>
      </c>
      <c r="F1375" s="1353">
        <f t="shared" si="125"/>
        <v>31</v>
      </c>
      <c r="G1375" s="1353"/>
      <c r="H1375" s="1353"/>
      <c r="I1375" s="1353">
        <v>31</v>
      </c>
      <c r="J1375" s="1354"/>
    </row>
    <row r="1376" spans="1:10" s="366" customFormat="1" ht="15" customHeight="1">
      <c r="A1376" s="1809"/>
      <c r="B1376" s="1827"/>
      <c r="C1376" s="1815"/>
      <c r="D1376" s="1818"/>
      <c r="E1376" s="1352" t="s">
        <v>393</v>
      </c>
      <c r="F1376" s="1353">
        <f t="shared" si="125"/>
        <v>1481</v>
      </c>
      <c r="G1376" s="1353"/>
      <c r="H1376" s="1353">
        <v>1481</v>
      </c>
      <c r="I1376" s="1353"/>
      <c r="J1376" s="1354"/>
    </row>
    <row r="1377" spans="1:10" s="366" customFormat="1" ht="15" customHeight="1">
      <c r="A1377" s="1809"/>
      <c r="B1377" s="1827"/>
      <c r="C1377" s="1815"/>
      <c r="D1377" s="1818"/>
      <c r="E1377" s="1352" t="s">
        <v>367</v>
      </c>
      <c r="F1377" s="1353">
        <f t="shared" si="125"/>
        <v>44</v>
      </c>
      <c r="G1377" s="1353"/>
      <c r="H1377" s="1353"/>
      <c r="I1377" s="1353">
        <v>44</v>
      </c>
      <c r="J1377" s="1354"/>
    </row>
    <row r="1378" spans="1:10" s="366" customFormat="1" ht="24.95" customHeight="1">
      <c r="A1378" s="1809"/>
      <c r="B1378" s="1827"/>
      <c r="C1378" s="1815"/>
      <c r="D1378" s="1818"/>
      <c r="E1378" s="1349" t="s">
        <v>340</v>
      </c>
      <c r="F1378" s="1350">
        <f>SUM(F1379:F1390)</f>
        <v>143251</v>
      </c>
      <c r="G1378" s="1350">
        <f>SUM(G1379:G1390)</f>
        <v>0</v>
      </c>
      <c r="H1378" s="1350">
        <f>SUM(H1379:H1390)</f>
        <v>142806</v>
      </c>
      <c r="I1378" s="1350">
        <f>SUM(I1379:I1390)</f>
        <v>445</v>
      </c>
      <c r="J1378" s="1351">
        <f>SUM(J1379:J1390)</f>
        <v>0</v>
      </c>
    </row>
    <row r="1379" spans="1:10" s="418" customFormat="1" ht="15" hidden="1" customHeight="1">
      <c r="A1379" s="1809"/>
      <c r="B1379" s="1827"/>
      <c r="C1379" s="1815"/>
      <c r="D1379" s="1818"/>
      <c r="E1379" s="1383" t="s">
        <v>545</v>
      </c>
      <c r="F1379" s="1353">
        <f t="shared" ref="F1379:F1390" si="126">SUM(G1379:J1379)</f>
        <v>0</v>
      </c>
      <c r="G1379" s="1353"/>
      <c r="H1379" s="1353"/>
      <c r="I1379" s="1353"/>
      <c r="J1379" s="1354"/>
    </row>
    <row r="1380" spans="1:10" s="418" customFormat="1" ht="15" hidden="1" customHeight="1">
      <c r="A1380" s="1809"/>
      <c r="B1380" s="1827"/>
      <c r="C1380" s="1815"/>
      <c r="D1380" s="1818"/>
      <c r="E1380" s="1383" t="s">
        <v>371</v>
      </c>
      <c r="F1380" s="1353">
        <f t="shared" si="126"/>
        <v>0</v>
      </c>
      <c r="G1380" s="1353"/>
      <c r="H1380" s="1353"/>
      <c r="I1380" s="1353"/>
      <c r="J1380" s="1354"/>
    </row>
    <row r="1381" spans="1:10" s="418" customFormat="1" ht="15" customHeight="1">
      <c r="A1381" s="1809"/>
      <c r="B1381" s="1827"/>
      <c r="C1381" s="1815"/>
      <c r="D1381" s="1818"/>
      <c r="E1381" s="1383" t="s">
        <v>411</v>
      </c>
      <c r="F1381" s="1353">
        <f t="shared" si="126"/>
        <v>64805</v>
      </c>
      <c r="G1381" s="1353"/>
      <c r="H1381" s="1353">
        <v>64805</v>
      </c>
      <c r="I1381" s="1353"/>
      <c r="J1381" s="1354"/>
    </row>
    <row r="1382" spans="1:10" s="418" customFormat="1" ht="15" customHeight="1">
      <c r="A1382" s="1809"/>
      <c r="B1382" s="1827"/>
      <c r="C1382" s="1815"/>
      <c r="D1382" s="1818"/>
      <c r="E1382" s="1383" t="s">
        <v>342</v>
      </c>
      <c r="F1382" s="1353">
        <f t="shared" si="126"/>
        <v>195</v>
      </c>
      <c r="G1382" s="1353"/>
      <c r="H1382" s="1353"/>
      <c r="I1382" s="1353">
        <v>195</v>
      </c>
      <c r="J1382" s="1354"/>
    </row>
    <row r="1383" spans="1:10" s="418" customFormat="1" ht="15" customHeight="1">
      <c r="A1383" s="1809"/>
      <c r="B1383" s="1827"/>
      <c r="C1383" s="1815"/>
      <c r="D1383" s="1818"/>
      <c r="E1383" s="1383" t="s">
        <v>546</v>
      </c>
      <c r="F1383" s="1353">
        <f t="shared" si="126"/>
        <v>2070</v>
      </c>
      <c r="G1383" s="1353"/>
      <c r="H1383" s="1353">
        <v>2070</v>
      </c>
      <c r="I1383" s="1353"/>
      <c r="J1383" s="1354"/>
    </row>
    <row r="1384" spans="1:10" s="418" customFormat="1" ht="15" customHeight="1">
      <c r="A1384" s="1809"/>
      <c r="B1384" s="1827"/>
      <c r="C1384" s="1815"/>
      <c r="D1384" s="1818"/>
      <c r="E1384" s="1383" t="s">
        <v>547</v>
      </c>
      <c r="F1384" s="1353">
        <f t="shared" si="126"/>
        <v>14</v>
      </c>
      <c r="G1384" s="1353"/>
      <c r="H1384" s="1353"/>
      <c r="I1384" s="1353">
        <v>14</v>
      </c>
      <c r="J1384" s="1354"/>
    </row>
    <row r="1385" spans="1:10" s="418" customFormat="1" ht="15" customHeight="1">
      <c r="A1385" s="1809"/>
      <c r="B1385" s="1827"/>
      <c r="C1385" s="1815"/>
      <c r="D1385" s="1818"/>
      <c r="E1385" s="1383" t="s">
        <v>424</v>
      </c>
      <c r="F1385" s="1353">
        <f t="shared" si="126"/>
        <v>26612</v>
      </c>
      <c r="G1385" s="1353"/>
      <c r="H1385" s="1353">
        <v>26612</v>
      </c>
      <c r="I1385" s="1353"/>
      <c r="J1385" s="1354"/>
    </row>
    <row r="1386" spans="1:10" s="418" customFormat="1" ht="15" customHeight="1">
      <c r="A1386" s="1809"/>
      <c r="B1386" s="1827"/>
      <c r="C1386" s="1815"/>
      <c r="D1386" s="1818"/>
      <c r="E1386" s="1383" t="s">
        <v>373</v>
      </c>
      <c r="F1386" s="1353">
        <f t="shared" si="126"/>
        <v>66</v>
      </c>
      <c r="G1386" s="1353"/>
      <c r="H1386" s="1353"/>
      <c r="I1386" s="1353">
        <v>66</v>
      </c>
      <c r="J1386" s="1354"/>
    </row>
    <row r="1387" spans="1:10" s="418" customFormat="1" ht="15" customHeight="1">
      <c r="A1387" s="1809"/>
      <c r="B1387" s="1827"/>
      <c r="C1387" s="1815"/>
      <c r="D1387" s="1818"/>
      <c r="E1387" s="1383" t="s">
        <v>394</v>
      </c>
      <c r="F1387" s="1353">
        <f t="shared" si="126"/>
        <v>43857</v>
      </c>
      <c r="G1387" s="1353"/>
      <c r="H1387" s="1353">
        <v>43857</v>
      </c>
      <c r="I1387" s="1353"/>
      <c r="J1387" s="1354"/>
    </row>
    <row r="1388" spans="1:10" s="418" customFormat="1" ht="15" customHeight="1">
      <c r="A1388" s="1809"/>
      <c r="B1388" s="1827"/>
      <c r="C1388" s="1815"/>
      <c r="D1388" s="1818"/>
      <c r="E1388" s="1383" t="s">
        <v>344</v>
      </c>
      <c r="F1388" s="1353">
        <f t="shared" si="126"/>
        <v>132</v>
      </c>
      <c r="G1388" s="1353"/>
      <c r="H1388" s="1353"/>
      <c r="I1388" s="1353">
        <v>132</v>
      </c>
      <c r="J1388" s="1354"/>
    </row>
    <row r="1389" spans="1:10" s="418" customFormat="1" ht="15" customHeight="1">
      <c r="A1389" s="1809"/>
      <c r="B1389" s="1827"/>
      <c r="C1389" s="1815"/>
      <c r="D1389" s="1818"/>
      <c r="E1389" s="1383" t="s">
        <v>395</v>
      </c>
      <c r="F1389" s="1353">
        <f t="shared" si="126"/>
        <v>5462</v>
      </c>
      <c r="G1389" s="1353"/>
      <c r="H1389" s="1353">
        <v>5462</v>
      </c>
      <c r="I1389" s="1353"/>
      <c r="J1389" s="1354"/>
    </row>
    <row r="1390" spans="1:10" s="418" customFormat="1" ht="15" customHeight="1">
      <c r="A1390" s="1809"/>
      <c r="B1390" s="1827"/>
      <c r="C1390" s="1815"/>
      <c r="D1390" s="1818"/>
      <c r="E1390" s="1383" t="s">
        <v>346</v>
      </c>
      <c r="F1390" s="1353">
        <f t="shared" si="126"/>
        <v>38</v>
      </c>
      <c r="G1390" s="1353"/>
      <c r="H1390" s="1353"/>
      <c r="I1390" s="1353">
        <v>38</v>
      </c>
      <c r="J1390" s="1354"/>
    </row>
    <row r="1391" spans="1:10" s="366" customFormat="1" ht="19.5" customHeight="1" thickBot="1">
      <c r="A1391" s="1810"/>
      <c r="B1391" s="1828"/>
      <c r="C1391" s="1816"/>
      <c r="D1391" s="1819"/>
      <c r="E1391" s="1364" t="s">
        <v>324</v>
      </c>
      <c r="F1391" s="1365">
        <f>SUM(F1392:F1393)</f>
        <v>0</v>
      </c>
      <c r="G1391" s="1365">
        <f>SUM(G1392:G1393)</f>
        <v>0</v>
      </c>
      <c r="H1391" s="1365">
        <f>SUM(H1392:H1393)</f>
        <v>0</v>
      </c>
      <c r="I1391" s="1365">
        <f>SUM(I1392:I1393)</f>
        <v>0</v>
      </c>
      <c r="J1391" s="1366">
        <f>SUM(J1392:J1393)</f>
        <v>0</v>
      </c>
    </row>
    <row r="1392" spans="1:10" s="366" customFormat="1" ht="15" hidden="1" customHeight="1">
      <c r="A1392" s="426"/>
      <c r="B1392" s="1378"/>
      <c r="C1392" s="1368"/>
      <c r="D1392" s="1369"/>
      <c r="E1392" s="424"/>
      <c r="F1392" s="425">
        <f>SUM(G1392:J1392)</f>
        <v>0</v>
      </c>
      <c r="G1392" s="425"/>
      <c r="H1392" s="425"/>
      <c r="I1392" s="425"/>
      <c r="J1392" s="1403"/>
    </row>
    <row r="1393" spans="1:10" s="366" customFormat="1" ht="15" hidden="1" customHeight="1">
      <c r="A1393" s="420"/>
      <c r="B1393" s="421"/>
      <c r="C1393" s="422"/>
      <c r="D1393" s="423"/>
      <c r="E1393" s="1404"/>
      <c r="F1393" s="1405">
        <f>SUM(G1393:J1393)</f>
        <v>0</v>
      </c>
      <c r="G1393" s="1405"/>
      <c r="H1393" s="1405"/>
      <c r="I1393" s="1405"/>
      <c r="J1393" s="1406"/>
    </row>
    <row r="1394" spans="1:10" s="366" customFormat="1" ht="22.5">
      <c r="A1394" s="1773" t="s">
        <v>354</v>
      </c>
      <c r="B1394" s="1775" t="s">
        <v>549</v>
      </c>
      <c r="C1394" s="1805">
        <v>801</v>
      </c>
      <c r="D1394" s="1807" t="s">
        <v>542</v>
      </c>
      <c r="E1394" s="1343" t="s">
        <v>322</v>
      </c>
      <c r="F1394" s="1344">
        <f>SUM(F1395,F1419)</f>
        <v>429887</v>
      </c>
      <c r="G1394" s="1344">
        <f>SUM(G1395,G1419)</f>
        <v>0</v>
      </c>
      <c r="H1394" s="1344">
        <f>SUM(H1395,H1419)</f>
        <v>427018</v>
      </c>
      <c r="I1394" s="1344">
        <f>SUM(I1395,I1419)</f>
        <v>2869</v>
      </c>
      <c r="J1394" s="1345">
        <f>SUM(J1395,J1419)</f>
        <v>0</v>
      </c>
    </row>
    <row r="1395" spans="1:10" s="366" customFormat="1" ht="21">
      <c r="A1395" s="1809"/>
      <c r="B1395" s="1827"/>
      <c r="C1395" s="1815"/>
      <c r="D1395" s="1818"/>
      <c r="E1395" s="1346" t="s">
        <v>334</v>
      </c>
      <c r="F1395" s="1347">
        <f>SUM(F1396,F1399,F1406)</f>
        <v>429887</v>
      </c>
      <c r="G1395" s="1347">
        <f>SUM(G1396,G1399,G1406)</f>
        <v>0</v>
      </c>
      <c r="H1395" s="1347">
        <f>SUM(H1396,H1399,H1406)</f>
        <v>427018</v>
      </c>
      <c r="I1395" s="1347">
        <f>SUM(I1396,I1399,I1406)</f>
        <v>2869</v>
      </c>
      <c r="J1395" s="1348">
        <f>SUM(J1396,J1399,J1406)</f>
        <v>0</v>
      </c>
    </row>
    <row r="1396" spans="1:10" s="366" customFormat="1" ht="24.95" customHeight="1">
      <c r="A1396" s="1809"/>
      <c r="B1396" s="1827"/>
      <c r="C1396" s="1815"/>
      <c r="D1396" s="1818"/>
      <c r="E1396" s="1349" t="s">
        <v>389</v>
      </c>
      <c r="F1396" s="1350">
        <f>SUM(F1397:F1398)</f>
        <v>222886</v>
      </c>
      <c r="G1396" s="1350">
        <f>SUM(G1397:G1398)</f>
        <v>0</v>
      </c>
      <c r="H1396" s="1350">
        <f>SUM(H1397:H1398)</f>
        <v>221394</v>
      </c>
      <c r="I1396" s="1350">
        <f>SUM(I1397:I1398)</f>
        <v>1492</v>
      </c>
      <c r="J1396" s="1351">
        <f>SUM(J1397:J1398)</f>
        <v>0</v>
      </c>
    </row>
    <row r="1397" spans="1:10" s="366" customFormat="1" ht="15" customHeight="1">
      <c r="A1397" s="1809"/>
      <c r="B1397" s="1827"/>
      <c r="C1397" s="1815"/>
      <c r="D1397" s="1818"/>
      <c r="E1397" s="1383" t="s">
        <v>404</v>
      </c>
      <c r="F1397" s="1353">
        <f>SUM(G1397:J1397)</f>
        <v>221394</v>
      </c>
      <c r="G1397" s="1353"/>
      <c r="H1397" s="1353">
        <v>221394</v>
      </c>
      <c r="I1397" s="1353"/>
      <c r="J1397" s="1354"/>
    </row>
    <row r="1398" spans="1:10" s="366" customFormat="1" ht="15" customHeight="1">
      <c r="A1398" s="1809"/>
      <c r="B1398" s="1827"/>
      <c r="C1398" s="1815"/>
      <c r="D1398" s="1818"/>
      <c r="E1398" s="1383" t="s">
        <v>437</v>
      </c>
      <c r="F1398" s="1353">
        <f>SUM(G1398:J1398)</f>
        <v>1492</v>
      </c>
      <c r="G1398" s="1353"/>
      <c r="H1398" s="1353"/>
      <c r="I1398" s="1353">
        <v>1492</v>
      </c>
      <c r="J1398" s="1354"/>
    </row>
    <row r="1399" spans="1:10" s="366" customFormat="1" ht="22.5">
      <c r="A1399" s="1809"/>
      <c r="B1399" s="1827"/>
      <c r="C1399" s="1815"/>
      <c r="D1399" s="1818"/>
      <c r="E1399" s="1349" t="s">
        <v>335</v>
      </c>
      <c r="F1399" s="1350">
        <f>SUM(F1400:F1405)</f>
        <v>71565</v>
      </c>
      <c r="G1399" s="1350">
        <f>SUM(G1400:G1405)</f>
        <v>0</v>
      </c>
      <c r="H1399" s="1350">
        <f>SUM(H1400:H1405)</f>
        <v>71064</v>
      </c>
      <c r="I1399" s="1350">
        <f>SUM(I1400:I1405)</f>
        <v>501</v>
      </c>
      <c r="J1399" s="1351">
        <f>SUM(J1400:J1405)</f>
        <v>0</v>
      </c>
    </row>
    <row r="1400" spans="1:10" s="366" customFormat="1" ht="15" customHeight="1">
      <c r="A1400" s="1809"/>
      <c r="B1400" s="1827"/>
      <c r="C1400" s="1815"/>
      <c r="D1400" s="1818"/>
      <c r="E1400" s="1352" t="s">
        <v>391</v>
      </c>
      <c r="F1400" s="1353">
        <f t="shared" ref="F1400:F1405" si="127">SUM(G1400:J1400)</f>
        <v>59401</v>
      </c>
      <c r="G1400" s="1353"/>
      <c r="H1400" s="1353">
        <v>59401</v>
      </c>
      <c r="I1400" s="1353"/>
      <c r="J1400" s="1354"/>
    </row>
    <row r="1401" spans="1:10" s="366" customFormat="1" ht="15" customHeight="1">
      <c r="A1401" s="1809"/>
      <c r="B1401" s="1827"/>
      <c r="C1401" s="1815"/>
      <c r="D1401" s="1818"/>
      <c r="E1401" s="1352" t="s">
        <v>363</v>
      </c>
      <c r="F1401" s="1353">
        <f t="shared" si="127"/>
        <v>419</v>
      </c>
      <c r="G1401" s="1353"/>
      <c r="H1401" s="1353"/>
      <c r="I1401" s="1353">
        <v>419</v>
      </c>
      <c r="J1401" s="1354"/>
    </row>
    <row r="1402" spans="1:10" s="366" customFormat="1" ht="15" customHeight="1">
      <c r="A1402" s="1809"/>
      <c r="B1402" s="1827"/>
      <c r="C1402" s="1815"/>
      <c r="D1402" s="1818"/>
      <c r="E1402" s="1352" t="s">
        <v>392</v>
      </c>
      <c r="F1402" s="1353">
        <f t="shared" si="127"/>
        <v>10211</v>
      </c>
      <c r="G1402" s="1353"/>
      <c r="H1402" s="1353">
        <v>10211</v>
      </c>
      <c r="I1402" s="1353"/>
      <c r="J1402" s="1354"/>
    </row>
    <row r="1403" spans="1:10" s="366" customFormat="1" ht="15" customHeight="1">
      <c r="A1403" s="1809"/>
      <c r="B1403" s="1827"/>
      <c r="C1403" s="1815"/>
      <c r="D1403" s="1818"/>
      <c r="E1403" s="1352" t="s">
        <v>337</v>
      </c>
      <c r="F1403" s="1353">
        <f t="shared" si="127"/>
        <v>72</v>
      </c>
      <c r="G1403" s="1353"/>
      <c r="H1403" s="1353"/>
      <c r="I1403" s="1353">
        <v>72</v>
      </c>
      <c r="J1403" s="1354"/>
    </row>
    <row r="1404" spans="1:10" s="366" customFormat="1" ht="15" customHeight="1">
      <c r="A1404" s="1809"/>
      <c r="B1404" s="1827"/>
      <c r="C1404" s="1815"/>
      <c r="D1404" s="1818"/>
      <c r="E1404" s="1352" t="s">
        <v>393</v>
      </c>
      <c r="F1404" s="1353">
        <f t="shared" si="127"/>
        <v>1452</v>
      </c>
      <c r="G1404" s="1353"/>
      <c r="H1404" s="1353">
        <v>1452</v>
      </c>
      <c r="I1404" s="1353"/>
      <c r="J1404" s="1354"/>
    </row>
    <row r="1405" spans="1:10" s="366" customFormat="1" ht="15" customHeight="1">
      <c r="A1405" s="1809"/>
      <c r="B1405" s="1827"/>
      <c r="C1405" s="1815"/>
      <c r="D1405" s="1818"/>
      <c r="E1405" s="1352" t="s">
        <v>367</v>
      </c>
      <c r="F1405" s="1353">
        <f t="shared" si="127"/>
        <v>10</v>
      </c>
      <c r="G1405" s="1353"/>
      <c r="H1405" s="1353"/>
      <c r="I1405" s="1353">
        <v>10</v>
      </c>
      <c r="J1405" s="1354"/>
    </row>
    <row r="1406" spans="1:10" s="366" customFormat="1" ht="22.5">
      <c r="A1406" s="1809"/>
      <c r="B1406" s="1827"/>
      <c r="C1406" s="1815"/>
      <c r="D1406" s="1818"/>
      <c r="E1406" s="1349" t="s">
        <v>340</v>
      </c>
      <c r="F1406" s="1350">
        <f>SUM(F1407:F1418)</f>
        <v>135436</v>
      </c>
      <c r="G1406" s="1350">
        <f>SUM(G1407:G1418)</f>
        <v>0</v>
      </c>
      <c r="H1406" s="1350">
        <f>SUM(H1407:H1418)</f>
        <v>134560</v>
      </c>
      <c r="I1406" s="1350">
        <f>SUM(I1407:I1418)</f>
        <v>876</v>
      </c>
      <c r="J1406" s="1351">
        <f>SUM(J1407:J1418)</f>
        <v>0</v>
      </c>
    </row>
    <row r="1407" spans="1:10" s="418" customFormat="1" ht="15" hidden="1" customHeight="1">
      <c r="A1407" s="1809"/>
      <c r="B1407" s="1827"/>
      <c r="C1407" s="1815"/>
      <c r="D1407" s="1818"/>
      <c r="E1407" s="1383" t="s">
        <v>545</v>
      </c>
      <c r="F1407" s="1353">
        <f t="shared" ref="F1407:F1418" si="128">SUM(G1407:J1407)</f>
        <v>0</v>
      </c>
      <c r="G1407" s="1353"/>
      <c r="H1407" s="1353"/>
      <c r="I1407" s="1353"/>
      <c r="J1407" s="1354"/>
    </row>
    <row r="1408" spans="1:10" s="418" customFormat="1" ht="15" hidden="1" customHeight="1">
      <c r="A1408" s="1809"/>
      <c r="B1408" s="1827"/>
      <c r="C1408" s="1815"/>
      <c r="D1408" s="1818"/>
      <c r="E1408" s="1383" t="s">
        <v>371</v>
      </c>
      <c r="F1408" s="1353">
        <f t="shared" si="128"/>
        <v>0</v>
      </c>
      <c r="G1408" s="1353"/>
      <c r="H1408" s="1353"/>
      <c r="I1408" s="1353"/>
      <c r="J1408" s="1354"/>
    </row>
    <row r="1409" spans="1:10" s="418" customFormat="1" ht="15" customHeight="1">
      <c r="A1409" s="1809"/>
      <c r="B1409" s="1827"/>
      <c r="C1409" s="1815"/>
      <c r="D1409" s="1818"/>
      <c r="E1409" s="1383" t="s">
        <v>411</v>
      </c>
      <c r="F1409" s="1353">
        <f t="shared" si="128"/>
        <v>49650</v>
      </c>
      <c r="G1409" s="1353"/>
      <c r="H1409" s="1353">
        <v>49650</v>
      </c>
      <c r="I1409" s="1353"/>
      <c r="J1409" s="1354"/>
    </row>
    <row r="1410" spans="1:10" s="418" customFormat="1" ht="15" customHeight="1">
      <c r="A1410" s="1809"/>
      <c r="B1410" s="1827"/>
      <c r="C1410" s="1815"/>
      <c r="D1410" s="1818"/>
      <c r="E1410" s="1383" t="s">
        <v>342</v>
      </c>
      <c r="F1410" s="1353">
        <f t="shared" si="128"/>
        <v>350</v>
      </c>
      <c r="G1410" s="1353"/>
      <c r="H1410" s="1353"/>
      <c r="I1410" s="1353">
        <v>350</v>
      </c>
      <c r="J1410" s="1354"/>
    </row>
    <row r="1411" spans="1:10" s="418" customFormat="1" ht="15" customHeight="1">
      <c r="A1411" s="1809"/>
      <c r="B1411" s="1827"/>
      <c r="C1411" s="1815"/>
      <c r="D1411" s="1818"/>
      <c r="E1411" s="1383" t="s">
        <v>546</v>
      </c>
      <c r="F1411" s="1353">
        <f t="shared" si="128"/>
        <v>1986</v>
      </c>
      <c r="G1411" s="1353"/>
      <c r="H1411" s="1353">
        <v>1986</v>
      </c>
      <c r="I1411" s="1353"/>
      <c r="J1411" s="1354"/>
    </row>
    <row r="1412" spans="1:10" s="418" customFormat="1" ht="15" customHeight="1">
      <c r="A1412" s="1809"/>
      <c r="B1412" s="1827"/>
      <c r="C1412" s="1815"/>
      <c r="D1412" s="1818"/>
      <c r="E1412" s="1383" t="s">
        <v>547</v>
      </c>
      <c r="F1412" s="1353">
        <f t="shared" si="128"/>
        <v>14</v>
      </c>
      <c r="G1412" s="1353"/>
      <c r="H1412" s="1353"/>
      <c r="I1412" s="1353">
        <v>14</v>
      </c>
      <c r="J1412" s="1354"/>
    </row>
    <row r="1413" spans="1:10" s="418" customFormat="1" ht="15" customHeight="1">
      <c r="A1413" s="1809"/>
      <c r="B1413" s="1827"/>
      <c r="C1413" s="1815"/>
      <c r="D1413" s="1818"/>
      <c r="E1413" s="1383" t="s">
        <v>424</v>
      </c>
      <c r="F1413" s="1353">
        <f t="shared" si="128"/>
        <v>26612</v>
      </c>
      <c r="G1413" s="1353"/>
      <c r="H1413" s="1353">
        <v>26612</v>
      </c>
      <c r="I1413" s="1353"/>
      <c r="J1413" s="1354"/>
    </row>
    <row r="1414" spans="1:10" s="418" customFormat="1" ht="15" customHeight="1">
      <c r="A1414" s="1809"/>
      <c r="B1414" s="1827"/>
      <c r="C1414" s="1815"/>
      <c r="D1414" s="1818"/>
      <c r="E1414" s="1383" t="s">
        <v>373</v>
      </c>
      <c r="F1414" s="1353">
        <f t="shared" si="128"/>
        <v>187</v>
      </c>
      <c r="G1414" s="1353"/>
      <c r="H1414" s="1353"/>
      <c r="I1414" s="1353">
        <v>187</v>
      </c>
      <c r="J1414" s="1354"/>
    </row>
    <row r="1415" spans="1:10" s="418" customFormat="1" ht="15" customHeight="1">
      <c r="A1415" s="1809"/>
      <c r="B1415" s="1827"/>
      <c r="C1415" s="1815"/>
      <c r="D1415" s="1818"/>
      <c r="E1415" s="1383" t="s">
        <v>394</v>
      </c>
      <c r="F1415" s="1353">
        <f t="shared" si="128"/>
        <v>50850</v>
      </c>
      <c r="G1415" s="1353"/>
      <c r="H1415" s="1353">
        <v>50850</v>
      </c>
      <c r="I1415" s="1353"/>
      <c r="J1415" s="1354"/>
    </row>
    <row r="1416" spans="1:10" s="418" customFormat="1" ht="15" customHeight="1">
      <c r="A1416" s="1809"/>
      <c r="B1416" s="1827"/>
      <c r="C1416" s="1815"/>
      <c r="D1416" s="1818"/>
      <c r="E1416" s="1383" t="s">
        <v>344</v>
      </c>
      <c r="F1416" s="1353">
        <f t="shared" si="128"/>
        <v>287</v>
      </c>
      <c r="G1416" s="1353"/>
      <c r="H1416" s="1353"/>
      <c r="I1416" s="1353">
        <v>287</v>
      </c>
      <c r="J1416" s="1354"/>
    </row>
    <row r="1417" spans="1:10" s="418" customFormat="1" ht="15" customHeight="1">
      <c r="A1417" s="1809"/>
      <c r="B1417" s="1827"/>
      <c r="C1417" s="1815"/>
      <c r="D1417" s="1818"/>
      <c r="E1417" s="1383" t="s">
        <v>395</v>
      </c>
      <c r="F1417" s="1353">
        <f t="shared" si="128"/>
        <v>5462</v>
      </c>
      <c r="G1417" s="1353"/>
      <c r="H1417" s="1353">
        <v>5462</v>
      </c>
      <c r="I1417" s="1353"/>
      <c r="J1417" s="1354"/>
    </row>
    <row r="1418" spans="1:10" s="418" customFormat="1" ht="15" customHeight="1">
      <c r="A1418" s="1809"/>
      <c r="B1418" s="1827"/>
      <c r="C1418" s="1815"/>
      <c r="D1418" s="1818"/>
      <c r="E1418" s="1383" t="s">
        <v>346</v>
      </c>
      <c r="F1418" s="1353">
        <f t="shared" si="128"/>
        <v>38</v>
      </c>
      <c r="G1418" s="1353"/>
      <c r="H1418" s="1353"/>
      <c r="I1418" s="1353">
        <v>38</v>
      </c>
      <c r="J1418" s="1354"/>
    </row>
    <row r="1419" spans="1:10" s="366" customFormat="1" ht="19.5" customHeight="1" thickBot="1">
      <c r="A1419" s="1829"/>
      <c r="B1419" s="1830"/>
      <c r="C1419" s="1831"/>
      <c r="D1419" s="1832"/>
      <c r="E1419" s="1355" t="s">
        <v>324</v>
      </c>
      <c r="F1419" s="1347">
        <f>SUM(F1420:F1421)</f>
        <v>0</v>
      </c>
      <c r="G1419" s="1347">
        <f>SUM(G1420:G1421)</f>
        <v>0</v>
      </c>
      <c r="H1419" s="1347">
        <f>SUM(H1420:H1421)</f>
        <v>0</v>
      </c>
      <c r="I1419" s="1347">
        <f>SUM(I1420:I1421)</f>
        <v>0</v>
      </c>
      <c r="J1419" s="1348">
        <f>SUM(J1420:J1421)</f>
        <v>0</v>
      </c>
    </row>
    <row r="1420" spans="1:10" s="366" customFormat="1" ht="15" hidden="1" customHeight="1">
      <c r="A1420" s="426"/>
      <c r="B1420" s="1378"/>
      <c r="C1420" s="1368"/>
      <c r="D1420" s="1369"/>
      <c r="E1420" s="424"/>
      <c r="F1420" s="425">
        <f>SUM(G1420:J1420)</f>
        <v>0</v>
      </c>
      <c r="G1420" s="425"/>
      <c r="H1420" s="425"/>
      <c r="I1420" s="425"/>
      <c r="J1420" s="1403"/>
    </row>
    <row r="1421" spans="1:10" s="366" customFormat="1" ht="15" hidden="1" customHeight="1">
      <c r="A1421" s="426"/>
      <c r="B1421" s="1378"/>
      <c r="C1421" s="1368"/>
      <c r="D1421" s="1369"/>
      <c r="E1421" s="1379"/>
      <c r="F1421" s="1380">
        <f>SUM(G1421:J1421)</f>
        <v>0</v>
      </c>
      <c r="G1421" s="1380"/>
      <c r="H1421" s="1380"/>
      <c r="I1421" s="1380"/>
      <c r="J1421" s="1381"/>
    </row>
    <row r="1422" spans="1:10" s="366" customFormat="1" ht="22.5" customHeight="1">
      <c r="A1422" s="1808" t="s">
        <v>360</v>
      </c>
      <c r="B1422" s="1826" t="s">
        <v>550</v>
      </c>
      <c r="C1422" s="1814">
        <v>801</v>
      </c>
      <c r="D1422" s="1817" t="s">
        <v>542</v>
      </c>
      <c r="E1422" s="1361" t="s">
        <v>322</v>
      </c>
      <c r="F1422" s="1362">
        <f>SUM(F1423,F1435)</f>
        <v>1038866</v>
      </c>
      <c r="G1422" s="1362">
        <f>SUM(G1423,G1435)</f>
        <v>273617</v>
      </c>
      <c r="H1422" s="1362">
        <f>SUM(H1423,H1435)</f>
        <v>765249</v>
      </c>
      <c r="I1422" s="1362">
        <f>SUM(I1423,I1435)</f>
        <v>0</v>
      </c>
      <c r="J1422" s="1363">
        <f>SUM(J1423,J1435)</f>
        <v>0</v>
      </c>
    </row>
    <row r="1423" spans="1:10" s="366" customFormat="1" ht="21">
      <c r="A1423" s="1809"/>
      <c r="B1423" s="1827"/>
      <c r="C1423" s="1815"/>
      <c r="D1423" s="1818"/>
      <c r="E1423" s="1346" t="s">
        <v>334</v>
      </c>
      <c r="F1423" s="1347">
        <f>SUM(F1424,F1427,F1431)</f>
        <v>995832</v>
      </c>
      <c r="G1423" s="1347">
        <f>SUM(G1424,G1427,G1431)</f>
        <v>267162</v>
      </c>
      <c r="H1423" s="1347">
        <f>SUM(H1424,H1427,H1431)</f>
        <v>728670</v>
      </c>
      <c r="I1423" s="1347">
        <f>SUM(I1424,I1427,I1431)</f>
        <v>0</v>
      </c>
      <c r="J1423" s="1348">
        <f>SUM(J1424,J1427,J1431)</f>
        <v>0</v>
      </c>
    </row>
    <row r="1424" spans="1:10" s="366" customFormat="1" ht="24.95" hidden="1" customHeight="1">
      <c r="A1424" s="1809"/>
      <c r="B1424" s="1827"/>
      <c r="C1424" s="1815"/>
      <c r="D1424" s="1818"/>
      <c r="E1424" s="1349" t="s">
        <v>389</v>
      </c>
      <c r="F1424" s="1350">
        <f>SUM(F1425:F1426)</f>
        <v>0</v>
      </c>
      <c r="G1424" s="1350">
        <f>SUM(G1425:G1426)</f>
        <v>0</v>
      </c>
      <c r="H1424" s="1350">
        <f>SUM(H1425:H1426)</f>
        <v>0</v>
      </c>
      <c r="I1424" s="1350">
        <f>SUM(I1425:I1426)</f>
        <v>0</v>
      </c>
      <c r="J1424" s="1351">
        <f>SUM(J1425:J1426)</f>
        <v>0</v>
      </c>
    </row>
    <row r="1425" spans="1:10" s="366" customFormat="1" ht="15" hidden="1" customHeight="1">
      <c r="A1425" s="1809"/>
      <c r="B1425" s="1827"/>
      <c r="C1425" s="1815"/>
      <c r="D1425" s="1818"/>
      <c r="E1425" s="1383"/>
      <c r="F1425" s="1353">
        <f>SUM(G1425:J1425)</f>
        <v>0</v>
      </c>
      <c r="G1425" s="1353"/>
      <c r="H1425" s="1353"/>
      <c r="I1425" s="1353"/>
      <c r="J1425" s="1354"/>
    </row>
    <row r="1426" spans="1:10" s="366" customFormat="1" ht="15" hidden="1" customHeight="1">
      <c r="A1426" s="1809"/>
      <c r="B1426" s="1827"/>
      <c r="C1426" s="1815"/>
      <c r="D1426" s="1818"/>
      <c r="E1426" s="1383"/>
      <c r="F1426" s="1353">
        <f>SUM(G1426:J1426)</f>
        <v>0</v>
      </c>
      <c r="G1426" s="1353"/>
      <c r="H1426" s="1353"/>
      <c r="I1426" s="1353"/>
      <c r="J1426" s="1354"/>
    </row>
    <row r="1427" spans="1:10" s="366" customFormat="1" ht="24.95" hidden="1" customHeight="1">
      <c r="A1427" s="1809"/>
      <c r="B1427" s="1827"/>
      <c r="C1427" s="1815"/>
      <c r="D1427" s="1818"/>
      <c r="E1427" s="1349" t="s">
        <v>335</v>
      </c>
      <c r="F1427" s="1350">
        <f>SUM(F1428:F1430)</f>
        <v>0</v>
      </c>
      <c r="G1427" s="1350">
        <f>SUM(G1428:G1430)</f>
        <v>0</v>
      </c>
      <c r="H1427" s="1350">
        <f>SUM(H1428:H1430)</f>
        <v>0</v>
      </c>
      <c r="I1427" s="1350">
        <f>SUM(I1428:I1430)</f>
        <v>0</v>
      </c>
      <c r="J1427" s="1351">
        <f>SUM(J1428:J1430)</f>
        <v>0</v>
      </c>
    </row>
    <row r="1428" spans="1:10" s="366" customFormat="1" ht="15" hidden="1" customHeight="1">
      <c r="A1428" s="1809"/>
      <c r="B1428" s="1827"/>
      <c r="C1428" s="1815"/>
      <c r="D1428" s="1818"/>
      <c r="E1428" s="1352"/>
      <c r="F1428" s="1353">
        <f t="shared" ref="F1428:F1430" si="129">SUM(G1428:J1428)</f>
        <v>0</v>
      </c>
      <c r="G1428" s="1353"/>
      <c r="H1428" s="1353"/>
      <c r="I1428" s="1353"/>
      <c r="J1428" s="1354"/>
    </row>
    <row r="1429" spans="1:10" s="366" customFormat="1" ht="15" hidden="1" customHeight="1">
      <c r="A1429" s="1809"/>
      <c r="B1429" s="1827"/>
      <c r="C1429" s="1815"/>
      <c r="D1429" s="1818"/>
      <c r="E1429" s="1352"/>
      <c r="F1429" s="1353">
        <f t="shared" si="129"/>
        <v>0</v>
      </c>
      <c r="G1429" s="1353"/>
      <c r="H1429" s="1353"/>
      <c r="I1429" s="1353"/>
      <c r="J1429" s="1354"/>
    </row>
    <row r="1430" spans="1:10" s="366" customFormat="1" ht="15" hidden="1" customHeight="1">
      <c r="A1430" s="1809"/>
      <c r="B1430" s="1827"/>
      <c r="C1430" s="1815"/>
      <c r="D1430" s="1818"/>
      <c r="E1430" s="1352"/>
      <c r="F1430" s="1353">
        <f t="shared" si="129"/>
        <v>0</v>
      </c>
      <c r="G1430" s="1353"/>
      <c r="H1430" s="1353"/>
      <c r="I1430" s="1353"/>
      <c r="J1430" s="1354"/>
    </row>
    <row r="1431" spans="1:10" s="366" customFormat="1" ht="24.95" customHeight="1">
      <c r="A1431" s="1809"/>
      <c r="B1431" s="1827"/>
      <c r="C1431" s="1815"/>
      <c r="D1431" s="1818"/>
      <c r="E1431" s="1349" t="s">
        <v>340</v>
      </c>
      <c r="F1431" s="1350">
        <f>SUM(F1432:F1434)</f>
        <v>995832</v>
      </c>
      <c r="G1431" s="1350">
        <f>SUM(G1432:G1434)</f>
        <v>267162</v>
      </c>
      <c r="H1431" s="1350">
        <f>SUM(H1432:H1434)</f>
        <v>728670</v>
      </c>
      <c r="I1431" s="1350">
        <f>SUM(I1432:I1434)</f>
        <v>0</v>
      </c>
      <c r="J1431" s="1351">
        <f>SUM(J1432:J1434)</f>
        <v>0</v>
      </c>
    </row>
    <row r="1432" spans="1:10" s="418" customFormat="1" ht="15" hidden="1" customHeight="1">
      <c r="A1432" s="1809"/>
      <c r="B1432" s="1827"/>
      <c r="C1432" s="1815"/>
      <c r="D1432" s="1818"/>
      <c r="E1432" s="1383" t="s">
        <v>551</v>
      </c>
      <c r="F1432" s="1353">
        <f t="shared" ref="F1432:F1434" si="130">SUM(G1432:J1432)</f>
        <v>0</v>
      </c>
      <c r="G1432" s="1353"/>
      <c r="H1432" s="1353"/>
      <c r="I1432" s="1353"/>
      <c r="J1432" s="1354"/>
    </row>
    <row r="1433" spans="1:10" s="418" customFormat="1" ht="15" customHeight="1">
      <c r="A1433" s="1809"/>
      <c r="B1433" s="1827"/>
      <c r="C1433" s="1815"/>
      <c r="D1433" s="1818"/>
      <c r="E1433" s="1383" t="s">
        <v>552</v>
      </c>
      <c r="F1433" s="1353">
        <f t="shared" si="130"/>
        <v>728670</v>
      </c>
      <c r="G1433" s="1353"/>
      <c r="H1433" s="1353">
        <v>728670</v>
      </c>
      <c r="I1433" s="1353"/>
      <c r="J1433" s="1354"/>
    </row>
    <row r="1434" spans="1:10" s="418" customFormat="1" ht="15" customHeight="1">
      <c r="A1434" s="1809"/>
      <c r="B1434" s="1827"/>
      <c r="C1434" s="1815"/>
      <c r="D1434" s="1818"/>
      <c r="E1434" s="1383" t="s">
        <v>553</v>
      </c>
      <c r="F1434" s="1353">
        <f t="shared" si="130"/>
        <v>267162</v>
      </c>
      <c r="G1434" s="1353">
        <v>267162</v>
      </c>
      <c r="H1434" s="1353"/>
      <c r="I1434" s="1353"/>
      <c r="J1434" s="1354"/>
    </row>
    <row r="1435" spans="1:10" s="366" customFormat="1" ht="19.5" customHeight="1">
      <c r="A1435" s="1809"/>
      <c r="B1435" s="1827"/>
      <c r="C1435" s="1815"/>
      <c r="D1435" s="1818"/>
      <c r="E1435" s="1355" t="s">
        <v>324</v>
      </c>
      <c r="F1435" s="1347">
        <f>SUM(F1436:F1437)</f>
        <v>43034</v>
      </c>
      <c r="G1435" s="1347">
        <f>SUM(G1436:G1437)</f>
        <v>6455</v>
      </c>
      <c r="H1435" s="1347">
        <f>SUM(H1436:H1437)</f>
        <v>36579</v>
      </c>
      <c r="I1435" s="1347">
        <f>SUM(I1436:I1437)</f>
        <v>0</v>
      </c>
      <c r="J1435" s="1348">
        <f>SUM(J1436:J1437)</f>
        <v>0</v>
      </c>
    </row>
    <row r="1436" spans="1:10" s="366" customFormat="1" ht="15" customHeight="1">
      <c r="A1436" s="1809"/>
      <c r="B1436" s="1827"/>
      <c r="C1436" s="1815"/>
      <c r="D1436" s="1818"/>
      <c r="E1436" s="1212" t="s">
        <v>397</v>
      </c>
      <c r="F1436" s="427">
        <f>SUM(G1436:J1436)</f>
        <v>36579</v>
      </c>
      <c r="G1436" s="427"/>
      <c r="H1436" s="427">
        <v>36579</v>
      </c>
      <c r="I1436" s="427"/>
      <c r="J1436" s="1382"/>
    </row>
    <row r="1437" spans="1:10" s="366" customFormat="1" ht="15" customHeight="1" thickBot="1">
      <c r="A1437" s="1810"/>
      <c r="B1437" s="1828"/>
      <c r="C1437" s="1816"/>
      <c r="D1437" s="1819"/>
      <c r="E1437" s="1356">
        <v>6069</v>
      </c>
      <c r="F1437" s="1357">
        <f>SUM(G1437:J1437)</f>
        <v>6455</v>
      </c>
      <c r="G1437" s="1357">
        <v>6455</v>
      </c>
      <c r="H1437" s="1357"/>
      <c r="I1437" s="1357"/>
      <c r="J1437" s="1373"/>
    </row>
    <row r="1438" spans="1:10" s="366" customFormat="1" ht="22.5">
      <c r="A1438" s="1808" t="s">
        <v>368</v>
      </c>
      <c r="B1438" s="1826" t="s">
        <v>554</v>
      </c>
      <c r="C1438" s="1814">
        <v>801</v>
      </c>
      <c r="D1438" s="1817" t="s">
        <v>542</v>
      </c>
      <c r="E1438" s="1361" t="s">
        <v>322</v>
      </c>
      <c r="F1438" s="1362">
        <f>SUM(F1439,F1459)</f>
        <v>1087479</v>
      </c>
      <c r="G1438" s="1362">
        <f>SUM(G1439,G1459)</f>
        <v>0</v>
      </c>
      <c r="H1438" s="1362">
        <f>SUM(H1439,H1459)</f>
        <v>1027148</v>
      </c>
      <c r="I1438" s="1362">
        <f>SUM(I1439,I1459)</f>
        <v>60331</v>
      </c>
      <c r="J1438" s="1363">
        <f>SUM(J1439,J1459)</f>
        <v>0</v>
      </c>
    </row>
    <row r="1439" spans="1:10" s="366" customFormat="1" ht="21">
      <c r="A1439" s="1809"/>
      <c r="B1439" s="1827"/>
      <c r="C1439" s="1815"/>
      <c r="D1439" s="1818"/>
      <c r="E1439" s="1346" t="s">
        <v>334</v>
      </c>
      <c r="F1439" s="1347">
        <f>SUM(F1440,F1443,F1452)</f>
        <v>1087479</v>
      </c>
      <c r="G1439" s="1347">
        <f>SUM(G1440,G1443,G1452)</f>
        <v>0</v>
      </c>
      <c r="H1439" s="1347">
        <f>SUM(H1440,H1443,H1452)</f>
        <v>1027148</v>
      </c>
      <c r="I1439" s="1347">
        <f>SUM(I1440,I1443,I1452)</f>
        <v>60331</v>
      </c>
      <c r="J1439" s="1348">
        <f>SUM(J1440,J1443,J1452)</f>
        <v>0</v>
      </c>
    </row>
    <row r="1440" spans="1:10" s="366" customFormat="1">
      <c r="A1440" s="1809"/>
      <c r="B1440" s="1827"/>
      <c r="C1440" s="1815"/>
      <c r="D1440" s="1818"/>
      <c r="E1440" s="1349" t="s">
        <v>389</v>
      </c>
      <c r="F1440" s="1350">
        <f>SUM(F1441:F1442)</f>
        <v>878573</v>
      </c>
      <c r="G1440" s="1350">
        <f>SUM(G1441:G1442)</f>
        <v>0</v>
      </c>
      <c r="H1440" s="1350">
        <f>SUM(H1441:H1442)</f>
        <v>829832</v>
      </c>
      <c r="I1440" s="1350">
        <f>SUM(I1441:I1442)</f>
        <v>48741</v>
      </c>
      <c r="J1440" s="1351">
        <f>SUM(J1441:J1442)</f>
        <v>0</v>
      </c>
    </row>
    <row r="1441" spans="1:10" s="366" customFormat="1" ht="15" customHeight="1">
      <c r="A1441" s="1809"/>
      <c r="B1441" s="1827"/>
      <c r="C1441" s="1815"/>
      <c r="D1441" s="1818"/>
      <c r="E1441" s="1383" t="s">
        <v>404</v>
      </c>
      <c r="F1441" s="1353">
        <f>SUM(G1441:J1441)</f>
        <v>829832</v>
      </c>
      <c r="G1441" s="1353"/>
      <c r="H1441" s="1353">
        <v>829832</v>
      </c>
      <c r="I1441" s="1353"/>
      <c r="J1441" s="1354"/>
    </row>
    <row r="1442" spans="1:10" s="366" customFormat="1" ht="15" customHeight="1">
      <c r="A1442" s="1809"/>
      <c r="B1442" s="1827"/>
      <c r="C1442" s="1815"/>
      <c r="D1442" s="1818"/>
      <c r="E1442" s="1383" t="s">
        <v>437</v>
      </c>
      <c r="F1442" s="1353">
        <f>SUM(G1442:J1442)</f>
        <v>48741</v>
      </c>
      <c r="G1442" s="1353"/>
      <c r="H1442" s="1353"/>
      <c r="I1442" s="1353">
        <v>48741</v>
      </c>
      <c r="J1442" s="1354"/>
    </row>
    <row r="1443" spans="1:10" s="366" customFormat="1" ht="22.5">
      <c r="A1443" s="1809"/>
      <c r="B1443" s="1827"/>
      <c r="C1443" s="1815"/>
      <c r="D1443" s="1818"/>
      <c r="E1443" s="1349" t="s">
        <v>335</v>
      </c>
      <c r="F1443" s="1350">
        <f>SUM(F1444:F1451)</f>
        <v>61015</v>
      </c>
      <c r="G1443" s="1350">
        <f t="shared" ref="G1443:J1443" si="131">SUM(G1444:G1451)</f>
        <v>0</v>
      </c>
      <c r="H1443" s="1350">
        <f t="shared" si="131"/>
        <v>57630</v>
      </c>
      <c r="I1443" s="1350">
        <f t="shared" si="131"/>
        <v>3385</v>
      </c>
      <c r="J1443" s="1351">
        <f t="shared" si="131"/>
        <v>0</v>
      </c>
    </row>
    <row r="1444" spans="1:10" s="366" customFormat="1" ht="15" customHeight="1">
      <c r="A1444" s="1809"/>
      <c r="B1444" s="1827"/>
      <c r="C1444" s="1815"/>
      <c r="D1444" s="1818"/>
      <c r="E1444" s="1352" t="s">
        <v>391</v>
      </c>
      <c r="F1444" s="1353">
        <f t="shared" ref="F1444:F1451" si="132">SUM(G1444:J1444)</f>
        <v>48170</v>
      </c>
      <c r="G1444" s="1353"/>
      <c r="H1444" s="1353">
        <v>48170</v>
      </c>
      <c r="I1444" s="1353"/>
      <c r="J1444" s="1354"/>
    </row>
    <row r="1445" spans="1:10" s="366" customFormat="1" ht="15" customHeight="1">
      <c r="A1445" s="1809"/>
      <c r="B1445" s="1827"/>
      <c r="C1445" s="1815"/>
      <c r="D1445" s="1818"/>
      <c r="E1445" s="1352" t="s">
        <v>363</v>
      </c>
      <c r="F1445" s="1353">
        <f t="shared" si="132"/>
        <v>2830</v>
      </c>
      <c r="G1445" s="1353"/>
      <c r="H1445" s="1353"/>
      <c r="I1445" s="1353">
        <v>2830</v>
      </c>
      <c r="J1445" s="1354"/>
    </row>
    <row r="1446" spans="1:10" s="366" customFormat="1" ht="15" customHeight="1">
      <c r="A1446" s="1809"/>
      <c r="B1446" s="1827"/>
      <c r="C1446" s="1815"/>
      <c r="D1446" s="1818"/>
      <c r="E1446" s="1352" t="s">
        <v>392</v>
      </c>
      <c r="F1446" s="1353">
        <f t="shared" si="132"/>
        <v>8280</v>
      </c>
      <c r="G1446" s="1353"/>
      <c r="H1446" s="1353">
        <v>8280</v>
      </c>
      <c r="I1446" s="1353"/>
      <c r="J1446" s="1354"/>
    </row>
    <row r="1447" spans="1:10" s="366" customFormat="1" ht="15" customHeight="1">
      <c r="A1447" s="1809"/>
      <c r="B1447" s="1827"/>
      <c r="C1447" s="1815"/>
      <c r="D1447" s="1818"/>
      <c r="E1447" s="1352" t="s">
        <v>337</v>
      </c>
      <c r="F1447" s="1353">
        <f t="shared" si="132"/>
        <v>486</v>
      </c>
      <c r="G1447" s="1353"/>
      <c r="H1447" s="1353"/>
      <c r="I1447" s="1353">
        <v>486</v>
      </c>
      <c r="J1447" s="1354"/>
    </row>
    <row r="1448" spans="1:10" s="366" customFormat="1" ht="15" customHeight="1">
      <c r="A1448" s="1809"/>
      <c r="B1448" s="1827"/>
      <c r="C1448" s="1815"/>
      <c r="D1448" s="1818"/>
      <c r="E1448" s="1352" t="s">
        <v>393</v>
      </c>
      <c r="F1448" s="1353">
        <f t="shared" si="132"/>
        <v>1180</v>
      </c>
      <c r="G1448" s="1353"/>
      <c r="H1448" s="1353">
        <v>1180</v>
      </c>
      <c r="I1448" s="1353"/>
      <c r="J1448" s="1354"/>
    </row>
    <row r="1449" spans="1:10" s="366" customFormat="1" ht="15" customHeight="1">
      <c r="A1449" s="1809"/>
      <c r="B1449" s="1827"/>
      <c r="C1449" s="1815"/>
      <c r="D1449" s="1818"/>
      <c r="E1449" s="1352" t="s">
        <v>367</v>
      </c>
      <c r="F1449" s="1353">
        <f t="shared" si="132"/>
        <v>69</v>
      </c>
      <c r="G1449" s="1353"/>
      <c r="H1449" s="1353"/>
      <c r="I1449" s="1353">
        <v>69</v>
      </c>
      <c r="J1449" s="1354"/>
    </row>
    <row r="1450" spans="1:10" s="366" customFormat="1" ht="15" hidden="1" customHeight="1">
      <c r="A1450" s="1809"/>
      <c r="B1450" s="1827"/>
      <c r="C1450" s="1815"/>
      <c r="D1450" s="1818"/>
      <c r="E1450" s="1352" t="s">
        <v>410</v>
      </c>
      <c r="F1450" s="1353">
        <f t="shared" si="132"/>
        <v>0</v>
      </c>
      <c r="G1450" s="1353"/>
      <c r="H1450" s="1353"/>
      <c r="I1450" s="1353"/>
      <c r="J1450" s="1354"/>
    </row>
    <row r="1451" spans="1:10" s="366" customFormat="1" ht="15" hidden="1" customHeight="1">
      <c r="A1451" s="1809"/>
      <c r="B1451" s="1827"/>
      <c r="C1451" s="1815"/>
      <c r="D1451" s="1818"/>
      <c r="E1451" s="1352" t="s">
        <v>339</v>
      </c>
      <c r="F1451" s="1353">
        <f t="shared" si="132"/>
        <v>0</v>
      </c>
      <c r="G1451" s="1353"/>
      <c r="H1451" s="1353"/>
      <c r="I1451" s="1353"/>
      <c r="J1451" s="1354"/>
    </row>
    <row r="1452" spans="1:10" s="366" customFormat="1" ht="22.5">
      <c r="A1452" s="1809"/>
      <c r="B1452" s="1827"/>
      <c r="C1452" s="1815"/>
      <c r="D1452" s="1818"/>
      <c r="E1452" s="1349" t="s">
        <v>340</v>
      </c>
      <c r="F1452" s="1350">
        <f>SUM(F1453:F1458)</f>
        <v>147891</v>
      </c>
      <c r="G1452" s="1350">
        <f>SUM(G1453:G1458)</f>
        <v>0</v>
      </c>
      <c r="H1452" s="1350">
        <f>SUM(H1453:H1458)</f>
        <v>139686</v>
      </c>
      <c r="I1452" s="1350">
        <f>SUM(I1453:I1458)</f>
        <v>8205</v>
      </c>
      <c r="J1452" s="1351">
        <f>SUM(J1453:J1458)</f>
        <v>0</v>
      </c>
    </row>
    <row r="1453" spans="1:10" s="418" customFormat="1" ht="15" customHeight="1">
      <c r="A1453" s="1809"/>
      <c r="B1453" s="1827"/>
      <c r="C1453" s="1815"/>
      <c r="D1453" s="1818"/>
      <c r="E1453" s="1383" t="s">
        <v>546</v>
      </c>
      <c r="F1453" s="1353">
        <f t="shared" ref="F1453:F1458" si="133">SUM(G1453:J1453)</f>
        <v>1889</v>
      </c>
      <c r="G1453" s="1353"/>
      <c r="H1453" s="1353">
        <v>1889</v>
      </c>
      <c r="I1453" s="1353"/>
      <c r="J1453" s="1354"/>
    </row>
    <row r="1454" spans="1:10" s="418" customFormat="1" ht="15" customHeight="1">
      <c r="A1454" s="1809"/>
      <c r="B1454" s="1827"/>
      <c r="C1454" s="1815"/>
      <c r="D1454" s="1818"/>
      <c r="E1454" s="1383" t="s">
        <v>547</v>
      </c>
      <c r="F1454" s="1353">
        <f t="shared" si="133"/>
        <v>111</v>
      </c>
      <c r="G1454" s="1353"/>
      <c r="H1454" s="1353"/>
      <c r="I1454" s="1353">
        <v>111</v>
      </c>
      <c r="J1454" s="1354"/>
    </row>
    <row r="1455" spans="1:10" s="418" customFormat="1" ht="15" customHeight="1">
      <c r="A1455" s="1809"/>
      <c r="B1455" s="1827"/>
      <c r="C1455" s="1815"/>
      <c r="D1455" s="1818"/>
      <c r="E1455" s="1383" t="s">
        <v>394</v>
      </c>
      <c r="F1455" s="1353">
        <f t="shared" si="133"/>
        <v>135567</v>
      </c>
      <c r="G1455" s="1353"/>
      <c r="H1455" s="1353">
        <v>135567</v>
      </c>
      <c r="I1455" s="1353"/>
      <c r="J1455" s="1354"/>
    </row>
    <row r="1456" spans="1:10" s="418" customFormat="1" ht="15" customHeight="1">
      <c r="A1456" s="1809"/>
      <c r="B1456" s="1827"/>
      <c r="C1456" s="1815"/>
      <c r="D1456" s="1818"/>
      <c r="E1456" s="1383" t="s">
        <v>344</v>
      </c>
      <c r="F1456" s="1353">
        <f t="shared" si="133"/>
        <v>7963</v>
      </c>
      <c r="G1456" s="1353"/>
      <c r="H1456" s="1353"/>
      <c r="I1456" s="1353">
        <v>7963</v>
      </c>
      <c r="J1456" s="1354"/>
    </row>
    <row r="1457" spans="1:10" s="418" customFormat="1" ht="15" customHeight="1">
      <c r="A1457" s="1809"/>
      <c r="B1457" s="1827"/>
      <c r="C1457" s="1815"/>
      <c r="D1457" s="1818"/>
      <c r="E1457" s="1383" t="s">
        <v>395</v>
      </c>
      <c r="F1457" s="1353">
        <f t="shared" si="133"/>
        <v>2230</v>
      </c>
      <c r="G1457" s="1353"/>
      <c r="H1457" s="1353">
        <v>2230</v>
      </c>
      <c r="I1457" s="1353"/>
      <c r="J1457" s="1354"/>
    </row>
    <row r="1458" spans="1:10" s="418" customFormat="1" ht="15" customHeight="1">
      <c r="A1458" s="1809"/>
      <c r="B1458" s="1827"/>
      <c r="C1458" s="1815"/>
      <c r="D1458" s="1818"/>
      <c r="E1458" s="1383" t="s">
        <v>346</v>
      </c>
      <c r="F1458" s="1353">
        <f t="shared" si="133"/>
        <v>131</v>
      </c>
      <c r="G1458" s="1353"/>
      <c r="H1458" s="1353"/>
      <c r="I1458" s="1353">
        <v>131</v>
      </c>
      <c r="J1458" s="1354"/>
    </row>
    <row r="1459" spans="1:10" s="366" customFormat="1" ht="13.5" thickBot="1">
      <c r="A1459" s="1810"/>
      <c r="B1459" s="1828"/>
      <c r="C1459" s="1816"/>
      <c r="D1459" s="1819"/>
      <c r="E1459" s="1364" t="s">
        <v>324</v>
      </c>
      <c r="F1459" s="1365">
        <f>SUM(F1460:F1461)</f>
        <v>0</v>
      </c>
      <c r="G1459" s="1365">
        <f>SUM(G1460:G1461)</f>
        <v>0</v>
      </c>
      <c r="H1459" s="1365">
        <f>SUM(H1460:H1461)</f>
        <v>0</v>
      </c>
      <c r="I1459" s="1365">
        <f>SUM(I1460:I1461)</f>
        <v>0</v>
      </c>
      <c r="J1459" s="1366">
        <f>SUM(J1460:J1461)</f>
        <v>0</v>
      </c>
    </row>
    <row r="1460" spans="1:10" s="366" customFormat="1" ht="15" hidden="1" customHeight="1">
      <c r="A1460" s="426"/>
      <c r="B1460" s="1378"/>
      <c r="C1460" s="1368"/>
      <c r="D1460" s="1369"/>
      <c r="E1460" s="424"/>
      <c r="F1460" s="425">
        <f>SUM(G1460:J1460)</f>
        <v>0</v>
      </c>
      <c r="G1460" s="425"/>
      <c r="H1460" s="425"/>
      <c r="I1460" s="425"/>
      <c r="J1460" s="1403"/>
    </row>
    <row r="1461" spans="1:10" s="366" customFormat="1" ht="15" hidden="1" customHeight="1">
      <c r="A1461" s="426"/>
      <c r="B1461" s="1378"/>
      <c r="C1461" s="1368"/>
      <c r="D1461" s="1369"/>
      <c r="E1461" s="1379"/>
      <c r="F1461" s="1380">
        <f>SUM(G1461:J1461)</f>
        <v>0</v>
      </c>
      <c r="G1461" s="1380"/>
      <c r="H1461" s="1380"/>
      <c r="I1461" s="1380"/>
      <c r="J1461" s="1381"/>
    </row>
    <row r="1462" spans="1:10" s="366" customFormat="1" ht="22.5" customHeight="1">
      <c r="A1462" s="1808" t="s">
        <v>383</v>
      </c>
      <c r="B1462" s="1826" t="s">
        <v>555</v>
      </c>
      <c r="C1462" s="1814">
        <v>801</v>
      </c>
      <c r="D1462" s="1817" t="s">
        <v>542</v>
      </c>
      <c r="E1462" s="1361" t="s">
        <v>322</v>
      </c>
      <c r="F1462" s="1362">
        <f>SUM(F1463,F1479)</f>
        <v>66314</v>
      </c>
      <c r="G1462" s="1362">
        <f>SUM(G1463,G1479)</f>
        <v>6631</v>
      </c>
      <c r="H1462" s="1362">
        <f>SUM(H1463,H1479)</f>
        <v>56367</v>
      </c>
      <c r="I1462" s="1362">
        <f>SUM(I1463,I1479)</f>
        <v>3316</v>
      </c>
      <c r="J1462" s="1363">
        <f>SUM(J1463,J1479)</f>
        <v>0</v>
      </c>
    </row>
    <row r="1463" spans="1:10" s="366" customFormat="1" ht="21">
      <c r="A1463" s="1809"/>
      <c r="B1463" s="1827"/>
      <c r="C1463" s="1815"/>
      <c r="D1463" s="1818"/>
      <c r="E1463" s="1346" t="s">
        <v>334</v>
      </c>
      <c r="F1463" s="1347">
        <f>SUM(F1464,F1467,F1474)</f>
        <v>66314</v>
      </c>
      <c r="G1463" s="1347">
        <f>SUM(G1464,G1467,G1474)</f>
        <v>6631</v>
      </c>
      <c r="H1463" s="1347">
        <f>SUM(H1464,H1467,H1474)</f>
        <v>56367</v>
      </c>
      <c r="I1463" s="1347">
        <f>SUM(I1464,I1467,I1474)</f>
        <v>3316</v>
      </c>
      <c r="J1463" s="1348">
        <f>SUM(J1464,J1467,J1474)</f>
        <v>0</v>
      </c>
    </row>
    <row r="1464" spans="1:10" s="366" customFormat="1" ht="24.95" hidden="1" customHeight="1">
      <c r="A1464" s="1809"/>
      <c r="B1464" s="1827"/>
      <c r="C1464" s="1815"/>
      <c r="D1464" s="1818"/>
      <c r="E1464" s="1349" t="s">
        <v>389</v>
      </c>
      <c r="F1464" s="1350">
        <f>SUM(F1465:F1466)</f>
        <v>0</v>
      </c>
      <c r="G1464" s="1350">
        <f>SUM(G1465:G1466)</f>
        <v>0</v>
      </c>
      <c r="H1464" s="1350">
        <f>SUM(H1465:H1466)</f>
        <v>0</v>
      </c>
      <c r="I1464" s="1350">
        <f>SUM(I1465:I1466)</f>
        <v>0</v>
      </c>
      <c r="J1464" s="1351">
        <f>SUM(J1465:J1466)</f>
        <v>0</v>
      </c>
    </row>
    <row r="1465" spans="1:10" s="366" customFormat="1" ht="15" hidden="1" customHeight="1">
      <c r="A1465" s="1809"/>
      <c r="B1465" s="1827"/>
      <c r="C1465" s="1815"/>
      <c r="D1465" s="1818"/>
      <c r="E1465" s="1383"/>
      <c r="F1465" s="1353">
        <f>SUM(G1465:J1465)</f>
        <v>0</v>
      </c>
      <c r="G1465" s="1353"/>
      <c r="H1465" s="1353"/>
      <c r="I1465" s="1353"/>
      <c r="J1465" s="1354"/>
    </row>
    <row r="1466" spans="1:10" s="366" customFormat="1" ht="15" hidden="1" customHeight="1">
      <c r="A1466" s="1809"/>
      <c r="B1466" s="1827"/>
      <c r="C1466" s="1815"/>
      <c r="D1466" s="1818"/>
      <c r="E1466" s="1383"/>
      <c r="F1466" s="1353">
        <f>SUM(G1466:J1466)</f>
        <v>0</v>
      </c>
      <c r="G1466" s="1353"/>
      <c r="H1466" s="1353"/>
      <c r="I1466" s="1353"/>
      <c r="J1466" s="1354"/>
    </row>
    <row r="1467" spans="1:10" s="366" customFormat="1" ht="24.95" customHeight="1">
      <c r="A1467" s="1809"/>
      <c r="B1467" s="1827"/>
      <c r="C1467" s="1815"/>
      <c r="D1467" s="1818"/>
      <c r="E1467" s="1349" t="s">
        <v>335</v>
      </c>
      <c r="F1467" s="1350">
        <f>SUM(F1468:F1473)</f>
        <v>11487</v>
      </c>
      <c r="G1467" s="1350">
        <f>SUM(G1468:G1473)</f>
        <v>6365</v>
      </c>
      <c r="H1467" s="1350">
        <f>SUM(H1468:H1473)</f>
        <v>5122</v>
      </c>
      <c r="I1467" s="1350">
        <f>SUM(I1468:I1473)</f>
        <v>0</v>
      </c>
      <c r="J1467" s="1351">
        <f>SUM(J1468:J1473)</f>
        <v>0</v>
      </c>
    </row>
    <row r="1468" spans="1:10" s="366" customFormat="1" ht="15" customHeight="1">
      <c r="A1468" s="1809"/>
      <c r="B1468" s="1827"/>
      <c r="C1468" s="1815"/>
      <c r="D1468" s="1818"/>
      <c r="E1468" s="1352" t="s">
        <v>391</v>
      </c>
      <c r="F1468" s="1353">
        <f t="shared" ref="F1468:F1473" si="134">SUM(G1468:J1468)</f>
        <v>3520</v>
      </c>
      <c r="G1468" s="1353"/>
      <c r="H1468" s="1353">
        <v>3520</v>
      </c>
      <c r="I1468" s="1353"/>
      <c r="J1468" s="1354"/>
    </row>
    <row r="1469" spans="1:10" s="366" customFormat="1" ht="15" customHeight="1">
      <c r="A1469" s="1809"/>
      <c r="B1469" s="1827"/>
      <c r="C1469" s="1815"/>
      <c r="D1469" s="1818"/>
      <c r="E1469" s="1352" t="s">
        <v>363</v>
      </c>
      <c r="F1469" s="1353">
        <f t="shared" si="134"/>
        <v>6081</v>
      </c>
      <c r="G1469" s="1353">
        <v>6081</v>
      </c>
      <c r="H1469" s="1353"/>
      <c r="I1469" s="1353"/>
      <c r="J1469" s="1354"/>
    </row>
    <row r="1470" spans="1:10" s="366" customFormat="1" ht="15" customHeight="1">
      <c r="A1470" s="1809"/>
      <c r="B1470" s="1827"/>
      <c r="C1470" s="1815"/>
      <c r="D1470" s="1818"/>
      <c r="E1470" s="1352" t="s">
        <v>392</v>
      </c>
      <c r="F1470" s="1353">
        <f t="shared" si="134"/>
        <v>1403</v>
      </c>
      <c r="G1470" s="1353"/>
      <c r="H1470" s="1353">
        <v>1403</v>
      </c>
      <c r="I1470" s="1353"/>
      <c r="J1470" s="1354"/>
    </row>
    <row r="1471" spans="1:10" s="366" customFormat="1" ht="15" customHeight="1">
      <c r="A1471" s="1809"/>
      <c r="B1471" s="1827"/>
      <c r="C1471" s="1815"/>
      <c r="D1471" s="1818"/>
      <c r="E1471" s="1352" t="s">
        <v>337</v>
      </c>
      <c r="F1471" s="1353">
        <f t="shared" si="134"/>
        <v>248</v>
      </c>
      <c r="G1471" s="1353">
        <v>248</v>
      </c>
      <c r="H1471" s="1353"/>
      <c r="I1471" s="1353"/>
      <c r="J1471" s="1354"/>
    </row>
    <row r="1472" spans="1:10" s="366" customFormat="1" ht="15" customHeight="1">
      <c r="A1472" s="1809"/>
      <c r="B1472" s="1827"/>
      <c r="C1472" s="1815"/>
      <c r="D1472" s="1818"/>
      <c r="E1472" s="1352" t="s">
        <v>393</v>
      </c>
      <c r="F1472" s="1353">
        <f t="shared" si="134"/>
        <v>199</v>
      </c>
      <c r="G1472" s="1353"/>
      <c r="H1472" s="1353">
        <v>199</v>
      </c>
      <c r="I1472" s="1353"/>
      <c r="J1472" s="1354"/>
    </row>
    <row r="1473" spans="1:10" s="366" customFormat="1" ht="15" customHeight="1">
      <c r="A1473" s="1809"/>
      <c r="B1473" s="1827"/>
      <c r="C1473" s="1815"/>
      <c r="D1473" s="1818"/>
      <c r="E1473" s="1352" t="s">
        <v>367</v>
      </c>
      <c r="F1473" s="1353">
        <f t="shared" si="134"/>
        <v>36</v>
      </c>
      <c r="G1473" s="1353">
        <v>36</v>
      </c>
      <c r="H1473" s="1353"/>
      <c r="I1473" s="1353"/>
      <c r="J1473" s="1354"/>
    </row>
    <row r="1474" spans="1:10" s="366" customFormat="1" ht="24.95" customHeight="1">
      <c r="A1474" s="1809"/>
      <c r="B1474" s="1827"/>
      <c r="C1474" s="1815"/>
      <c r="D1474" s="1818"/>
      <c r="E1474" s="1349" t="s">
        <v>340</v>
      </c>
      <c r="F1474" s="1350">
        <f>SUM(F1475:F1478)</f>
        <v>54827</v>
      </c>
      <c r="G1474" s="1350">
        <f>SUM(G1475:G1478)</f>
        <v>266</v>
      </c>
      <c r="H1474" s="1350">
        <f>SUM(H1475:H1478)</f>
        <v>51245</v>
      </c>
      <c r="I1474" s="1350">
        <f>SUM(I1475:I1478)</f>
        <v>3316</v>
      </c>
      <c r="J1474" s="1351">
        <f>SUM(J1475:J1478)</f>
        <v>0</v>
      </c>
    </row>
    <row r="1475" spans="1:10" s="418" customFormat="1" ht="15" customHeight="1">
      <c r="A1475" s="1809"/>
      <c r="B1475" s="1827"/>
      <c r="C1475" s="1815"/>
      <c r="D1475" s="1818"/>
      <c r="E1475" s="1383" t="s">
        <v>394</v>
      </c>
      <c r="F1475" s="1353">
        <f t="shared" ref="F1475:F1478" si="135">SUM(G1475:J1475)</f>
        <v>49734</v>
      </c>
      <c r="G1475" s="1353"/>
      <c r="H1475" s="1353">
        <v>49734</v>
      </c>
      <c r="I1475" s="1353"/>
      <c r="J1475" s="1354"/>
    </row>
    <row r="1476" spans="1:10" s="418" customFormat="1" ht="15" customHeight="1">
      <c r="A1476" s="1809"/>
      <c r="B1476" s="1827"/>
      <c r="C1476" s="1815"/>
      <c r="D1476" s="1818"/>
      <c r="E1476" s="1383" t="s">
        <v>344</v>
      </c>
      <c r="F1476" s="1353">
        <f t="shared" si="135"/>
        <v>3316</v>
      </c>
      <c r="G1476" s="1353"/>
      <c r="H1476" s="1353"/>
      <c r="I1476" s="1353">
        <v>3316</v>
      </c>
      <c r="J1476" s="1354"/>
    </row>
    <row r="1477" spans="1:10" s="418" customFormat="1" ht="15" customHeight="1">
      <c r="A1477" s="1809"/>
      <c r="B1477" s="1827"/>
      <c r="C1477" s="1815"/>
      <c r="D1477" s="1818"/>
      <c r="E1477" s="1383" t="s">
        <v>395</v>
      </c>
      <c r="F1477" s="1353">
        <f t="shared" si="135"/>
        <v>1511</v>
      </c>
      <c r="G1477" s="1353"/>
      <c r="H1477" s="1353">
        <v>1511</v>
      </c>
      <c r="I1477" s="1353"/>
      <c r="J1477" s="1354"/>
    </row>
    <row r="1478" spans="1:10" s="418" customFormat="1" ht="15" customHeight="1">
      <c r="A1478" s="1809"/>
      <c r="B1478" s="1827"/>
      <c r="C1478" s="1815"/>
      <c r="D1478" s="1818"/>
      <c r="E1478" s="1383" t="s">
        <v>346</v>
      </c>
      <c r="F1478" s="1353">
        <f t="shared" si="135"/>
        <v>266</v>
      </c>
      <c r="G1478" s="1353">
        <v>266</v>
      </c>
      <c r="H1478" s="1353"/>
      <c r="I1478" s="1353"/>
      <c r="J1478" s="1354"/>
    </row>
    <row r="1479" spans="1:10" s="366" customFormat="1" ht="13.5" thickBot="1">
      <c r="A1479" s="1810"/>
      <c r="B1479" s="1828"/>
      <c r="C1479" s="1816"/>
      <c r="D1479" s="1819"/>
      <c r="E1479" s="1364" t="s">
        <v>324</v>
      </c>
      <c r="F1479" s="1365">
        <f>SUM(F1480:F1481)</f>
        <v>0</v>
      </c>
      <c r="G1479" s="1365">
        <f>SUM(G1480:G1481)</f>
        <v>0</v>
      </c>
      <c r="H1479" s="1365">
        <f>SUM(H1480:H1481)</f>
        <v>0</v>
      </c>
      <c r="I1479" s="1365">
        <f>SUM(I1480:I1481)</f>
        <v>0</v>
      </c>
      <c r="J1479" s="1366">
        <f>SUM(J1480:J1481)</f>
        <v>0</v>
      </c>
    </row>
    <row r="1480" spans="1:10" s="366" customFormat="1" ht="15" hidden="1" customHeight="1">
      <c r="A1480" s="426"/>
      <c r="B1480" s="1378"/>
      <c r="C1480" s="1368"/>
      <c r="D1480" s="1369"/>
      <c r="E1480" s="424"/>
      <c r="F1480" s="425">
        <f>SUM(G1480:J1480)</f>
        <v>0</v>
      </c>
      <c r="G1480" s="425"/>
      <c r="H1480" s="425"/>
      <c r="I1480" s="425"/>
      <c r="J1480" s="1403"/>
    </row>
    <row r="1481" spans="1:10" s="366" customFormat="1" ht="12.75" hidden="1" customHeight="1">
      <c r="A1481" s="420"/>
      <c r="B1481" s="421"/>
      <c r="C1481" s="422"/>
      <c r="D1481" s="423"/>
      <c r="E1481" s="1404"/>
      <c r="F1481" s="1405">
        <f>SUM(G1481:J1481)</f>
        <v>0</v>
      </c>
      <c r="G1481" s="1405"/>
      <c r="H1481" s="1405"/>
      <c r="I1481" s="1405"/>
      <c r="J1481" s="1406"/>
    </row>
    <row r="1482" spans="1:10" s="366" customFormat="1" ht="24.95" customHeight="1">
      <c r="A1482" s="435" t="s">
        <v>556</v>
      </c>
      <c r="B1482" s="1858" t="s">
        <v>557</v>
      </c>
      <c r="C1482" s="1859"/>
      <c r="D1482" s="1859"/>
      <c r="E1482" s="1860"/>
      <c r="F1482" s="436">
        <f>F1484</f>
        <v>292400</v>
      </c>
      <c r="G1482" s="436">
        <f t="shared" ref="G1482:J1482" si="136">G1484</f>
        <v>29240</v>
      </c>
      <c r="H1482" s="436">
        <f t="shared" si="136"/>
        <v>248540</v>
      </c>
      <c r="I1482" s="436">
        <f t="shared" si="136"/>
        <v>14620</v>
      </c>
      <c r="J1482" s="1414">
        <f t="shared" si="136"/>
        <v>0</v>
      </c>
    </row>
    <row r="1483" spans="1:10" s="366" customFormat="1" ht="15" customHeight="1" thickBot="1">
      <c r="A1483" s="1840"/>
      <c r="B1483" s="1841"/>
      <c r="C1483" s="1841"/>
      <c r="D1483" s="1841"/>
      <c r="E1483" s="1841"/>
      <c r="F1483" s="1841"/>
      <c r="G1483" s="1841"/>
      <c r="H1483" s="1841"/>
      <c r="I1483" s="1841"/>
      <c r="J1483" s="1842"/>
    </row>
    <row r="1484" spans="1:10" s="366" customFormat="1" ht="24.95" customHeight="1">
      <c r="A1484" s="1808" t="s">
        <v>320</v>
      </c>
      <c r="B1484" s="1826" t="s">
        <v>558</v>
      </c>
      <c r="C1484" s="1814">
        <v>801</v>
      </c>
      <c r="D1484" s="1817" t="s">
        <v>559</v>
      </c>
      <c r="E1484" s="1361" t="s">
        <v>322</v>
      </c>
      <c r="F1484" s="1362">
        <f>SUM(F1485,F1502)</f>
        <v>292400</v>
      </c>
      <c r="G1484" s="1362">
        <f>SUM(G1485,G1502)</f>
        <v>29240</v>
      </c>
      <c r="H1484" s="1362">
        <f>SUM(H1485,H1502)</f>
        <v>248540</v>
      </c>
      <c r="I1484" s="1362">
        <f>SUM(I1485,I1502)</f>
        <v>14620</v>
      </c>
      <c r="J1484" s="1363">
        <f>SUM(J1485,J1502)</f>
        <v>0</v>
      </c>
    </row>
    <row r="1485" spans="1:10" s="366" customFormat="1" ht="24.95" customHeight="1">
      <c r="A1485" s="1809"/>
      <c r="B1485" s="1827"/>
      <c r="C1485" s="1815"/>
      <c r="D1485" s="1818"/>
      <c r="E1485" s="1346" t="s">
        <v>334</v>
      </c>
      <c r="F1485" s="1347">
        <f>SUM(F1486,F1493)</f>
        <v>292400</v>
      </c>
      <c r="G1485" s="1347">
        <f>SUM(G1486,G1493)</f>
        <v>29240</v>
      </c>
      <c r="H1485" s="1347">
        <f>SUM(H1486,H1493)</f>
        <v>248540</v>
      </c>
      <c r="I1485" s="1347">
        <f>SUM(I1486,I1493)</f>
        <v>14620</v>
      </c>
      <c r="J1485" s="1348">
        <f>SUM(J1486,J1493)</f>
        <v>0</v>
      </c>
    </row>
    <row r="1486" spans="1:10" s="366" customFormat="1" ht="24.95" customHeight="1">
      <c r="A1486" s="1809"/>
      <c r="B1486" s="1827"/>
      <c r="C1486" s="1815"/>
      <c r="D1486" s="1818"/>
      <c r="E1486" s="1349" t="s">
        <v>335</v>
      </c>
      <c r="F1486" s="1350">
        <f>SUM(F1487:F1492)</f>
        <v>74480</v>
      </c>
      <c r="G1486" s="1350">
        <f>SUM(G1487:G1492)</f>
        <v>29240</v>
      </c>
      <c r="H1486" s="1350">
        <f>SUM(H1487:H1492)</f>
        <v>44199</v>
      </c>
      <c r="I1486" s="1350">
        <f>SUM(I1487:I1492)</f>
        <v>1041</v>
      </c>
      <c r="J1486" s="1351">
        <f>SUM(J1487:J1492)</f>
        <v>0</v>
      </c>
    </row>
    <row r="1487" spans="1:10" s="366" customFormat="1" ht="15" customHeight="1">
      <c r="A1487" s="1809"/>
      <c r="B1487" s="1827"/>
      <c r="C1487" s="1815"/>
      <c r="D1487" s="1818"/>
      <c r="E1487" s="1352" t="s">
        <v>392</v>
      </c>
      <c r="F1487" s="1353">
        <f>SUM(G1487:J1487)</f>
        <v>19160</v>
      </c>
      <c r="G1487" s="1353"/>
      <c r="H1487" s="1353">
        <v>19160</v>
      </c>
      <c r="I1487" s="1353"/>
      <c r="J1487" s="1354"/>
    </row>
    <row r="1488" spans="1:10" s="366" customFormat="1" ht="15" customHeight="1">
      <c r="A1488" s="1809"/>
      <c r="B1488" s="1827"/>
      <c r="C1488" s="1815"/>
      <c r="D1488" s="1818"/>
      <c r="E1488" s="1352" t="s">
        <v>337</v>
      </c>
      <c r="F1488" s="1353">
        <f>SUM(G1488:J1488)</f>
        <v>5242</v>
      </c>
      <c r="G1488" s="1353">
        <v>4201</v>
      </c>
      <c r="H1488" s="1353"/>
      <c r="I1488" s="1353">
        <v>1041</v>
      </c>
      <c r="J1488" s="1354"/>
    </row>
    <row r="1489" spans="1:10" s="366" customFormat="1" ht="15" customHeight="1">
      <c r="A1489" s="1809"/>
      <c r="B1489" s="1827"/>
      <c r="C1489" s="1815"/>
      <c r="D1489" s="1818"/>
      <c r="E1489" s="1352" t="s">
        <v>393</v>
      </c>
      <c r="F1489" s="1353">
        <f>SUM(G1489:J1489)</f>
        <v>600</v>
      </c>
      <c r="G1489" s="1353"/>
      <c r="H1489" s="1353">
        <v>600</v>
      </c>
      <c r="I1489" s="1353"/>
      <c r="J1489" s="1354"/>
    </row>
    <row r="1490" spans="1:10" s="366" customFormat="1" ht="15" customHeight="1">
      <c r="A1490" s="1809"/>
      <c r="B1490" s="1827"/>
      <c r="C1490" s="1815"/>
      <c r="D1490" s="1818"/>
      <c r="E1490" s="1352" t="s">
        <v>367</v>
      </c>
      <c r="F1490" s="1353">
        <f>SUM(G1490:J1490)</f>
        <v>599</v>
      </c>
      <c r="G1490" s="1353">
        <v>599</v>
      </c>
      <c r="H1490" s="1353"/>
      <c r="I1490" s="1353"/>
      <c r="J1490" s="1354"/>
    </row>
    <row r="1491" spans="1:10" s="366" customFormat="1" ht="15" customHeight="1">
      <c r="A1491" s="1809"/>
      <c r="B1491" s="1827"/>
      <c r="C1491" s="1815"/>
      <c r="D1491" s="1818"/>
      <c r="E1491" s="1352" t="s">
        <v>410</v>
      </c>
      <c r="F1491" s="1353">
        <f t="shared" ref="F1491:F1492" si="137">SUM(G1491:J1491)</f>
        <v>24439</v>
      </c>
      <c r="G1491" s="1353"/>
      <c r="H1491" s="1353">
        <v>24439</v>
      </c>
      <c r="I1491" s="1353"/>
      <c r="J1491" s="1354"/>
    </row>
    <row r="1492" spans="1:10" s="366" customFormat="1" ht="15" customHeight="1">
      <c r="A1492" s="1809"/>
      <c r="B1492" s="1827"/>
      <c r="C1492" s="1815"/>
      <c r="D1492" s="1818"/>
      <c r="E1492" s="1352" t="s">
        <v>339</v>
      </c>
      <c r="F1492" s="1353">
        <f t="shared" si="137"/>
        <v>24440</v>
      </c>
      <c r="G1492" s="1353">
        <v>24440</v>
      </c>
      <c r="H1492" s="1353"/>
      <c r="I1492" s="1353"/>
      <c r="J1492" s="1354"/>
    </row>
    <row r="1493" spans="1:10" s="366" customFormat="1" ht="24.95" customHeight="1">
      <c r="A1493" s="1809"/>
      <c r="B1493" s="1827"/>
      <c r="C1493" s="1815"/>
      <c r="D1493" s="1818"/>
      <c r="E1493" s="1349" t="s">
        <v>340</v>
      </c>
      <c r="F1493" s="1350">
        <f>SUM(F1494:F1501)</f>
        <v>217920</v>
      </c>
      <c r="G1493" s="1350">
        <f>SUM(G1494:G1501)</f>
        <v>0</v>
      </c>
      <c r="H1493" s="1350">
        <f>SUM(H1494:H1501)</f>
        <v>204341</v>
      </c>
      <c r="I1493" s="1350">
        <f>SUM(I1494:I1501)</f>
        <v>13579</v>
      </c>
      <c r="J1493" s="1351">
        <f>SUM(J1494:J1501)</f>
        <v>0</v>
      </c>
    </row>
    <row r="1494" spans="1:10" s="366" customFormat="1" ht="15" customHeight="1">
      <c r="A1494" s="1809"/>
      <c r="B1494" s="1827"/>
      <c r="C1494" s="1815"/>
      <c r="D1494" s="1818"/>
      <c r="E1494" s="1352" t="s">
        <v>422</v>
      </c>
      <c r="F1494" s="1353">
        <f t="shared" ref="F1494:F1501" si="138">SUM(G1494:J1494)</f>
        <v>46629</v>
      </c>
      <c r="G1494" s="1353"/>
      <c r="H1494" s="1353">
        <v>46629</v>
      </c>
      <c r="I1494" s="1353"/>
      <c r="J1494" s="1354"/>
    </row>
    <row r="1495" spans="1:10" s="366" customFormat="1" ht="15" customHeight="1">
      <c r="A1495" s="1809"/>
      <c r="B1495" s="1827"/>
      <c r="C1495" s="1815"/>
      <c r="D1495" s="1818"/>
      <c r="E1495" s="1352" t="s">
        <v>423</v>
      </c>
      <c r="F1495" s="1353">
        <f t="shared" si="138"/>
        <v>3241</v>
      </c>
      <c r="G1495" s="1353"/>
      <c r="H1495" s="1353"/>
      <c r="I1495" s="1353">
        <v>3241</v>
      </c>
      <c r="J1495" s="1354"/>
    </row>
    <row r="1496" spans="1:10" s="366" customFormat="1" ht="15" customHeight="1">
      <c r="A1496" s="1809"/>
      <c r="B1496" s="1827"/>
      <c r="C1496" s="1815"/>
      <c r="D1496" s="1818"/>
      <c r="E1496" s="1352" t="s">
        <v>560</v>
      </c>
      <c r="F1496" s="1353">
        <f t="shared" si="138"/>
        <v>110307</v>
      </c>
      <c r="G1496" s="1353"/>
      <c r="H1496" s="1353">
        <v>110307</v>
      </c>
      <c r="I1496" s="1353"/>
      <c r="J1496" s="1354"/>
    </row>
    <row r="1497" spans="1:10" s="366" customFormat="1" ht="15" customHeight="1">
      <c r="A1497" s="1809"/>
      <c r="B1497" s="1827"/>
      <c r="C1497" s="1815"/>
      <c r="D1497" s="1818"/>
      <c r="E1497" s="1352" t="s">
        <v>561</v>
      </c>
      <c r="F1497" s="1353">
        <f t="shared" si="138"/>
        <v>7043</v>
      </c>
      <c r="G1497" s="1353"/>
      <c r="H1497" s="1353"/>
      <c r="I1497" s="1353">
        <v>7043</v>
      </c>
      <c r="J1497" s="1354"/>
    </row>
    <row r="1498" spans="1:10" s="366" customFormat="1" ht="15" customHeight="1">
      <c r="A1498" s="1809"/>
      <c r="B1498" s="1827"/>
      <c r="C1498" s="1815"/>
      <c r="D1498" s="1818"/>
      <c r="E1498" s="1352" t="s">
        <v>394</v>
      </c>
      <c r="F1498" s="1353">
        <f t="shared" si="138"/>
        <v>34128</v>
      </c>
      <c r="G1498" s="1353"/>
      <c r="H1498" s="1353">
        <v>34128</v>
      </c>
      <c r="I1498" s="1353"/>
      <c r="J1498" s="1354"/>
    </row>
    <row r="1499" spans="1:10" s="366" customFormat="1" ht="15" customHeight="1">
      <c r="A1499" s="1809"/>
      <c r="B1499" s="1827"/>
      <c r="C1499" s="1815"/>
      <c r="D1499" s="1818"/>
      <c r="E1499" s="1352" t="s">
        <v>344</v>
      </c>
      <c r="F1499" s="1353">
        <f t="shared" si="138"/>
        <v>2372</v>
      </c>
      <c r="G1499" s="1353"/>
      <c r="H1499" s="1353"/>
      <c r="I1499" s="1353">
        <v>2372</v>
      </c>
      <c r="J1499" s="1354"/>
    </row>
    <row r="1500" spans="1:10" s="366" customFormat="1" ht="15" customHeight="1">
      <c r="A1500" s="1809"/>
      <c r="B1500" s="1827"/>
      <c r="C1500" s="1815"/>
      <c r="D1500" s="1818"/>
      <c r="E1500" s="1352" t="s">
        <v>396</v>
      </c>
      <c r="F1500" s="1353">
        <f t="shared" si="138"/>
        <v>13277</v>
      </c>
      <c r="G1500" s="1353"/>
      <c r="H1500" s="1353">
        <v>13277</v>
      </c>
      <c r="I1500" s="1353"/>
      <c r="J1500" s="1354"/>
    </row>
    <row r="1501" spans="1:10" s="366" customFormat="1" ht="15" customHeight="1">
      <c r="A1501" s="1809"/>
      <c r="B1501" s="1827"/>
      <c r="C1501" s="1815"/>
      <c r="D1501" s="1818"/>
      <c r="E1501" s="1352" t="s">
        <v>381</v>
      </c>
      <c r="F1501" s="1353">
        <f t="shared" si="138"/>
        <v>923</v>
      </c>
      <c r="G1501" s="1353"/>
      <c r="H1501" s="1353"/>
      <c r="I1501" s="1353">
        <v>923</v>
      </c>
      <c r="J1501" s="1354"/>
    </row>
    <row r="1502" spans="1:10" s="366" customFormat="1" ht="24.95" customHeight="1" thickBot="1">
      <c r="A1502" s="1809"/>
      <c r="B1502" s="1827"/>
      <c r="C1502" s="1815"/>
      <c r="D1502" s="1818"/>
      <c r="E1502" s="1355" t="s">
        <v>324</v>
      </c>
      <c r="F1502" s="1347">
        <f>SUM(F1503:F1504)</f>
        <v>0</v>
      </c>
      <c r="G1502" s="1347">
        <f>SUM(G1503:G1504)</f>
        <v>0</v>
      </c>
      <c r="H1502" s="1347">
        <f>SUM(H1503:H1504)</f>
        <v>0</v>
      </c>
      <c r="I1502" s="1347">
        <f>SUM(I1503:I1504)</f>
        <v>0</v>
      </c>
      <c r="J1502" s="1348">
        <f>SUM(J1503:J1504)</f>
        <v>0</v>
      </c>
    </row>
    <row r="1503" spans="1:10" s="366" customFormat="1" ht="15" hidden="1" customHeight="1">
      <c r="A1503" s="1809"/>
      <c r="B1503" s="1827"/>
      <c r="C1503" s="1815"/>
      <c r="D1503" s="1818"/>
      <c r="E1503" s="1352" t="s">
        <v>397</v>
      </c>
      <c r="F1503" s="1353">
        <f>SUM(G1503:J1503)</f>
        <v>0</v>
      </c>
      <c r="G1503" s="1353"/>
      <c r="H1503" s="1353">
        <f>33150-33150</f>
        <v>0</v>
      </c>
      <c r="I1503" s="1353"/>
      <c r="J1503" s="1354"/>
    </row>
    <row r="1504" spans="1:10" s="366" customFormat="1" ht="15" hidden="1" customHeight="1">
      <c r="A1504" s="1829"/>
      <c r="B1504" s="1830"/>
      <c r="C1504" s="1831"/>
      <c r="D1504" s="1832"/>
      <c r="E1504" s="1375">
        <v>6069</v>
      </c>
      <c r="F1504" s="1353">
        <f>SUM(G1504:J1504)</f>
        <v>0</v>
      </c>
      <c r="G1504" s="1353">
        <f>3900-3900</f>
        <v>0</v>
      </c>
      <c r="H1504" s="1353"/>
      <c r="I1504" s="1353">
        <f>1950-1950</f>
        <v>0</v>
      </c>
      <c r="J1504" s="1354"/>
    </row>
    <row r="1505" spans="1:11" s="101" customFormat="1" ht="24.95" customHeight="1" thickBot="1">
      <c r="A1505" s="1855" t="s">
        <v>562</v>
      </c>
      <c r="B1505" s="1856"/>
      <c r="C1505" s="1856"/>
      <c r="D1505" s="1856"/>
      <c r="E1505" s="1857"/>
      <c r="F1505" s="1389">
        <f>F8+F631+F1038+F1061+F1076+F1193+F1271+F1284+F1482</f>
        <v>932644635</v>
      </c>
      <c r="G1505" s="1389">
        <f t="shared" ref="G1505:J1505" si="139">G8+G631+G1038+G1061+G1076+G1193+G1271+G1284+G1482</f>
        <v>138211499</v>
      </c>
      <c r="H1505" s="1389">
        <f t="shared" si="139"/>
        <v>637545833</v>
      </c>
      <c r="I1505" s="1389">
        <f t="shared" si="139"/>
        <v>148965490</v>
      </c>
      <c r="J1505" s="1390">
        <f t="shared" si="139"/>
        <v>7921813</v>
      </c>
      <c r="K1505" s="347"/>
    </row>
  </sheetData>
  <mergeCells count="365">
    <mergeCell ref="A1505:E1505"/>
    <mergeCell ref="B1482:E1482"/>
    <mergeCell ref="A1483:J1483"/>
    <mergeCell ref="A1484:A1504"/>
    <mergeCell ref="B1484:B1504"/>
    <mergeCell ref="C1484:C1504"/>
    <mergeCell ref="D1484:D1504"/>
    <mergeCell ref="A1438:A1459"/>
    <mergeCell ref="B1438:B1459"/>
    <mergeCell ref="C1438:C1459"/>
    <mergeCell ref="D1438:D1459"/>
    <mergeCell ref="A1462:A1479"/>
    <mergeCell ref="B1462:B1479"/>
    <mergeCell ref="C1462:C1479"/>
    <mergeCell ref="D1462:D1479"/>
    <mergeCell ref="A1394:A1419"/>
    <mergeCell ref="B1394:B1419"/>
    <mergeCell ref="C1394:C1419"/>
    <mergeCell ref="D1394:D1419"/>
    <mergeCell ref="A1422:A1437"/>
    <mergeCell ref="B1422:B1437"/>
    <mergeCell ref="C1422:C1437"/>
    <mergeCell ref="D1422:D1437"/>
    <mergeCell ref="A1338:A1363"/>
    <mergeCell ref="B1338:B1363"/>
    <mergeCell ref="C1338:C1363"/>
    <mergeCell ref="D1338:D1363"/>
    <mergeCell ref="A1366:A1391"/>
    <mergeCell ref="B1366:B1391"/>
    <mergeCell ref="C1366:C1391"/>
    <mergeCell ref="D1366:D1391"/>
    <mergeCell ref="A1286:A1309"/>
    <mergeCell ref="B1286:B1309"/>
    <mergeCell ref="C1286:C1309"/>
    <mergeCell ref="D1286:D1309"/>
    <mergeCell ref="A1312:A1335"/>
    <mergeCell ref="B1312:B1335"/>
    <mergeCell ref="C1312:C1335"/>
    <mergeCell ref="D1312:D1335"/>
    <mergeCell ref="A1273:A1283"/>
    <mergeCell ref="B1273:B1283"/>
    <mergeCell ref="C1273:C1283"/>
    <mergeCell ref="D1273:D1283"/>
    <mergeCell ref="B1284:E1284"/>
    <mergeCell ref="A1285:J1285"/>
    <mergeCell ref="A1246:A1270"/>
    <mergeCell ref="B1246:B1270"/>
    <mergeCell ref="C1246:C1270"/>
    <mergeCell ref="D1246:D1270"/>
    <mergeCell ref="B1271:E1271"/>
    <mergeCell ref="A1272:J1272"/>
    <mergeCell ref="A1208:A1226"/>
    <mergeCell ref="B1208:B1226"/>
    <mergeCell ref="C1208:C1226"/>
    <mergeCell ref="D1208:D1226"/>
    <mergeCell ref="A1227:A1245"/>
    <mergeCell ref="B1227:B1245"/>
    <mergeCell ref="C1227:C1245"/>
    <mergeCell ref="D1227:D1245"/>
    <mergeCell ref="B1193:E1193"/>
    <mergeCell ref="A1194:J1194"/>
    <mergeCell ref="A1195:A1207"/>
    <mergeCell ref="B1195:B1207"/>
    <mergeCell ref="C1195:C1207"/>
    <mergeCell ref="D1195:D1207"/>
    <mergeCell ref="A1101:A1144"/>
    <mergeCell ref="B1101:B1144"/>
    <mergeCell ref="C1101:C1144"/>
    <mergeCell ref="D1101:D1144"/>
    <mergeCell ref="A1147:A1192"/>
    <mergeCell ref="B1147:B1192"/>
    <mergeCell ref="C1147:C1192"/>
    <mergeCell ref="D1147:D1192"/>
    <mergeCell ref="D1094:D1095"/>
    <mergeCell ref="C1096:D1096"/>
    <mergeCell ref="C1097:C1098"/>
    <mergeCell ref="D1097:D1098"/>
    <mergeCell ref="C1099:C1100"/>
    <mergeCell ref="D1099:D1100"/>
    <mergeCell ref="A1086:A1100"/>
    <mergeCell ref="B1086:B1100"/>
    <mergeCell ref="C1086:D1087"/>
    <mergeCell ref="C1088:C1089"/>
    <mergeCell ref="D1088:D1089"/>
    <mergeCell ref="C1090:C1091"/>
    <mergeCell ref="D1090:D1091"/>
    <mergeCell ref="C1092:C1093"/>
    <mergeCell ref="D1092:D1093"/>
    <mergeCell ref="C1094:C1095"/>
    <mergeCell ref="B1076:E1076"/>
    <mergeCell ref="A1077:J1077"/>
    <mergeCell ref="A1078:A1085"/>
    <mergeCell ref="B1078:B1085"/>
    <mergeCell ref="C1078:D1079"/>
    <mergeCell ref="C1080:C1082"/>
    <mergeCell ref="D1080:D1082"/>
    <mergeCell ref="C1083:D1083"/>
    <mergeCell ref="A1063:A1075"/>
    <mergeCell ref="B1063:B1075"/>
    <mergeCell ref="C1063:C1071"/>
    <mergeCell ref="D1063:D1071"/>
    <mergeCell ref="C1072:C1075"/>
    <mergeCell ref="D1072:D1075"/>
    <mergeCell ref="A1050:A1060"/>
    <mergeCell ref="B1050:B1060"/>
    <mergeCell ref="C1050:C1060"/>
    <mergeCell ref="D1050:D1059"/>
    <mergeCell ref="B1061:E1061"/>
    <mergeCell ref="A1062:J1062"/>
    <mergeCell ref="B1038:E1038"/>
    <mergeCell ref="A1039:J1039"/>
    <mergeCell ref="A1040:A1049"/>
    <mergeCell ref="B1040:B1049"/>
    <mergeCell ref="C1040:C1049"/>
    <mergeCell ref="D1040:D1049"/>
    <mergeCell ref="A1008:A1022"/>
    <mergeCell ref="B1008:B1022"/>
    <mergeCell ref="C1008:C1022"/>
    <mergeCell ref="D1008:D1022"/>
    <mergeCell ref="A1023:A1037"/>
    <mergeCell ref="B1023:B1037"/>
    <mergeCell ref="C1023:C1037"/>
    <mergeCell ref="D1023:D1037"/>
    <mergeCell ref="A978:A992"/>
    <mergeCell ref="B978:B992"/>
    <mergeCell ref="C978:C992"/>
    <mergeCell ref="D978:D992"/>
    <mergeCell ref="A993:A1007"/>
    <mergeCell ref="B993:B1007"/>
    <mergeCell ref="C993:C1007"/>
    <mergeCell ref="D993:D1007"/>
    <mergeCell ref="A948:A962"/>
    <mergeCell ref="B948:B962"/>
    <mergeCell ref="C948:C962"/>
    <mergeCell ref="D948:D962"/>
    <mergeCell ref="A963:A977"/>
    <mergeCell ref="B963:B977"/>
    <mergeCell ref="C963:C977"/>
    <mergeCell ref="D963:D977"/>
    <mergeCell ref="A918:A932"/>
    <mergeCell ref="B918:B932"/>
    <mergeCell ref="C918:C932"/>
    <mergeCell ref="D918:D932"/>
    <mergeCell ref="A933:A947"/>
    <mergeCell ref="B933:B947"/>
    <mergeCell ref="C933:C947"/>
    <mergeCell ref="D933:D947"/>
    <mergeCell ref="A888:A902"/>
    <mergeCell ref="B888:B902"/>
    <mergeCell ref="C888:C902"/>
    <mergeCell ref="D888:D902"/>
    <mergeCell ref="A903:A917"/>
    <mergeCell ref="B903:B917"/>
    <mergeCell ref="C903:C917"/>
    <mergeCell ref="D903:D917"/>
    <mergeCell ref="A858:A872"/>
    <mergeCell ref="B858:B872"/>
    <mergeCell ref="C858:C872"/>
    <mergeCell ref="D858:D872"/>
    <mergeCell ref="A873:A887"/>
    <mergeCell ref="B873:B887"/>
    <mergeCell ref="C873:C887"/>
    <mergeCell ref="D873:D887"/>
    <mergeCell ref="A828:A842"/>
    <mergeCell ref="B828:B842"/>
    <mergeCell ref="C828:C842"/>
    <mergeCell ref="D828:D842"/>
    <mergeCell ref="A843:A857"/>
    <mergeCell ref="B843:B857"/>
    <mergeCell ref="C843:C857"/>
    <mergeCell ref="D843:D857"/>
    <mergeCell ref="A798:A812"/>
    <mergeCell ref="B798:B812"/>
    <mergeCell ref="C798:C812"/>
    <mergeCell ref="D798:D812"/>
    <mergeCell ref="A813:A827"/>
    <mergeCell ref="B813:B827"/>
    <mergeCell ref="C813:C827"/>
    <mergeCell ref="D813:D827"/>
    <mergeCell ref="A768:A782"/>
    <mergeCell ref="B768:B782"/>
    <mergeCell ref="C768:C782"/>
    <mergeCell ref="D768:D782"/>
    <mergeCell ref="A783:A797"/>
    <mergeCell ref="B783:B797"/>
    <mergeCell ref="C783:C797"/>
    <mergeCell ref="D783:D797"/>
    <mergeCell ref="A738:A752"/>
    <mergeCell ref="B738:B752"/>
    <mergeCell ref="C738:C752"/>
    <mergeCell ref="D738:D752"/>
    <mergeCell ref="A753:A767"/>
    <mergeCell ref="B753:B767"/>
    <mergeCell ref="C753:C767"/>
    <mergeCell ref="D753:D767"/>
    <mergeCell ref="A708:A722"/>
    <mergeCell ref="B708:B722"/>
    <mergeCell ref="C708:C722"/>
    <mergeCell ref="D708:D722"/>
    <mergeCell ref="A723:A737"/>
    <mergeCell ref="B723:B737"/>
    <mergeCell ref="C723:C737"/>
    <mergeCell ref="D723:D737"/>
    <mergeCell ref="A678:A692"/>
    <mergeCell ref="B678:B692"/>
    <mergeCell ref="C678:C692"/>
    <mergeCell ref="D678:D692"/>
    <mergeCell ref="A693:A707"/>
    <mergeCell ref="B693:B707"/>
    <mergeCell ref="C693:C707"/>
    <mergeCell ref="D693:D707"/>
    <mergeCell ref="A648:A662"/>
    <mergeCell ref="B648:B662"/>
    <mergeCell ref="C648:C662"/>
    <mergeCell ref="D648:D662"/>
    <mergeCell ref="A663:A677"/>
    <mergeCell ref="B663:B677"/>
    <mergeCell ref="C663:C677"/>
    <mergeCell ref="D663:D677"/>
    <mergeCell ref="B631:E631"/>
    <mergeCell ref="A632:J632"/>
    <mergeCell ref="A633:A647"/>
    <mergeCell ref="B633:B647"/>
    <mergeCell ref="C633:C647"/>
    <mergeCell ref="D633:D647"/>
    <mergeCell ref="A572:A606"/>
    <mergeCell ref="B572:B606"/>
    <mergeCell ref="C572:C606"/>
    <mergeCell ref="D572:D606"/>
    <mergeCell ref="A607:A630"/>
    <mergeCell ref="B607:B630"/>
    <mergeCell ref="C607:C630"/>
    <mergeCell ref="D607:D630"/>
    <mergeCell ref="A538:A550"/>
    <mergeCell ref="B538:B550"/>
    <mergeCell ref="C538:C550"/>
    <mergeCell ref="D538:D550"/>
    <mergeCell ref="A551:A571"/>
    <mergeCell ref="B551:B571"/>
    <mergeCell ref="C551:C571"/>
    <mergeCell ref="D551:D571"/>
    <mergeCell ref="A496:A512"/>
    <mergeCell ref="B496:B512"/>
    <mergeCell ref="C496:C512"/>
    <mergeCell ref="D496:D512"/>
    <mergeCell ref="A515:A535"/>
    <mergeCell ref="B515:B535"/>
    <mergeCell ref="C515:C535"/>
    <mergeCell ref="D515:D535"/>
    <mergeCell ref="A463:A478"/>
    <mergeCell ref="B463:B478"/>
    <mergeCell ref="C463:C478"/>
    <mergeCell ref="D463:D478"/>
    <mergeCell ref="A479:A493"/>
    <mergeCell ref="B479:B493"/>
    <mergeCell ref="C479:C493"/>
    <mergeCell ref="D479:D493"/>
    <mergeCell ref="A415:A437"/>
    <mergeCell ref="B415:B437"/>
    <mergeCell ref="C415:C437"/>
    <mergeCell ref="D415:D437"/>
    <mergeCell ref="A440:A462"/>
    <mergeCell ref="B440:B462"/>
    <mergeCell ref="C440:C462"/>
    <mergeCell ref="D440:D462"/>
    <mergeCell ref="A371:A387"/>
    <mergeCell ref="B371:B387"/>
    <mergeCell ref="C371:C387"/>
    <mergeCell ref="D371:D387"/>
    <mergeCell ref="A388:A412"/>
    <mergeCell ref="B388:B412"/>
    <mergeCell ref="C388:C412"/>
    <mergeCell ref="D388:D412"/>
    <mergeCell ref="A302:A337"/>
    <mergeCell ref="B302:B337"/>
    <mergeCell ref="C302:C337"/>
    <mergeCell ref="D302:D337"/>
    <mergeCell ref="A340:A368"/>
    <mergeCell ref="B340:B368"/>
    <mergeCell ref="C340:C368"/>
    <mergeCell ref="D340:D368"/>
    <mergeCell ref="A268:A288"/>
    <mergeCell ref="B268:B288"/>
    <mergeCell ref="C268:C288"/>
    <mergeCell ref="D268:D288"/>
    <mergeCell ref="A291:A301"/>
    <mergeCell ref="B291:B301"/>
    <mergeCell ref="C291:C301"/>
    <mergeCell ref="D291:D301"/>
    <mergeCell ref="A227:A244"/>
    <mergeCell ref="B227:B244"/>
    <mergeCell ref="C227:C244"/>
    <mergeCell ref="D227:D244"/>
    <mergeCell ref="A245:A265"/>
    <mergeCell ref="B245:B265"/>
    <mergeCell ref="C245:C265"/>
    <mergeCell ref="D245:D265"/>
    <mergeCell ref="A197:A212"/>
    <mergeCell ref="B197:B212"/>
    <mergeCell ref="C197:C212"/>
    <mergeCell ref="D197:D212"/>
    <mergeCell ref="A213:A226"/>
    <mergeCell ref="B213:B226"/>
    <mergeCell ref="C213:C226"/>
    <mergeCell ref="D213:D226"/>
    <mergeCell ref="A170:A183"/>
    <mergeCell ref="B170:B183"/>
    <mergeCell ref="C170:C183"/>
    <mergeCell ref="D170:D183"/>
    <mergeCell ref="A184:A196"/>
    <mergeCell ref="B184:B196"/>
    <mergeCell ref="C184:C187"/>
    <mergeCell ref="D184:D187"/>
    <mergeCell ref="C192:C196"/>
    <mergeCell ref="D192:D196"/>
    <mergeCell ref="A141:A153"/>
    <mergeCell ref="B141:B153"/>
    <mergeCell ref="C141:C153"/>
    <mergeCell ref="D141:D153"/>
    <mergeCell ref="A154:A169"/>
    <mergeCell ref="B154:B169"/>
    <mergeCell ref="C154:C169"/>
    <mergeCell ref="D154:D169"/>
    <mergeCell ref="A91:A127"/>
    <mergeCell ref="B91:B127"/>
    <mergeCell ref="C91:C127"/>
    <mergeCell ref="D91:D127"/>
    <mergeCell ref="A128:A140"/>
    <mergeCell ref="B128:B140"/>
    <mergeCell ref="C128:C140"/>
    <mergeCell ref="D128:D140"/>
    <mergeCell ref="A57:A74"/>
    <mergeCell ref="B57:B74"/>
    <mergeCell ref="C57:C74"/>
    <mergeCell ref="D57:D74"/>
    <mergeCell ref="A75:A89"/>
    <mergeCell ref="B75:B89"/>
    <mergeCell ref="C75:C89"/>
    <mergeCell ref="D75:D89"/>
    <mergeCell ref="A25:A43"/>
    <mergeCell ref="B25:B43"/>
    <mergeCell ref="C25:C43"/>
    <mergeCell ref="D25:D43"/>
    <mergeCell ref="A44:A55"/>
    <mergeCell ref="B44:B55"/>
    <mergeCell ref="C44:C55"/>
    <mergeCell ref="D44:D55"/>
    <mergeCell ref="B8:E8"/>
    <mergeCell ref="A9:J9"/>
    <mergeCell ref="A10:A16"/>
    <mergeCell ref="B10:B16"/>
    <mergeCell ref="C10:D15"/>
    <mergeCell ref="A17:A24"/>
    <mergeCell ref="B17:B24"/>
    <mergeCell ref="C17:D22"/>
    <mergeCell ref="H1:J1"/>
    <mergeCell ref="A2:J2"/>
    <mergeCell ref="A4:J4"/>
    <mergeCell ref="A5:A6"/>
    <mergeCell ref="B5:B6"/>
    <mergeCell ref="C5:C6"/>
    <mergeCell ref="D5:D6"/>
    <mergeCell ref="E5:E6"/>
    <mergeCell ref="F5:F6"/>
    <mergeCell ref="G5:J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Footer>Strona &amp;P z &amp;N</oddFooter>
  </headerFooter>
  <rowBreaks count="34" manualBreakCount="34">
    <brk id="43" max="9" man="1"/>
    <brk id="90" max="9" man="1"/>
    <brk id="127" max="9" man="1"/>
    <brk id="169" max="9" man="1"/>
    <brk id="226" max="9" man="1"/>
    <brk id="267" max="9" man="1"/>
    <brk id="301" max="9" man="1"/>
    <brk id="339" max="9" man="1"/>
    <brk id="387" max="9" man="1"/>
    <brk id="414" max="9" man="1"/>
    <brk id="437" max="9" man="1"/>
    <brk id="476" max="9" man="1"/>
    <brk id="514" max="9" man="1"/>
    <brk id="550" max="9" man="1"/>
    <brk id="571" max="9" man="1"/>
    <brk id="606" max="9" man="1"/>
    <brk id="677" max="9" man="1"/>
    <brk id="737" max="9" man="1"/>
    <brk id="797" max="9" man="1"/>
    <brk id="857" max="9" man="1"/>
    <brk id="930" max="9" man="1"/>
    <brk id="1034" max="9" man="1"/>
    <brk id="1075" max="9" man="1"/>
    <brk id="1100" max="9" man="1"/>
    <brk id="1146" max="9" man="1"/>
    <brk id="1192" max="9" man="1"/>
    <brk id="1226" max="9" man="1"/>
    <brk id="1270" max="9" man="1"/>
    <brk id="1311" max="9" man="1"/>
    <brk id="1337" max="9" man="1"/>
    <brk id="1365" max="9" man="1"/>
    <brk id="1393" max="9" man="1"/>
    <brk id="1437" max="9" man="1"/>
    <brk id="1481" max="9" man="1"/>
  </rowBreaks>
  <colBreaks count="1" manualBreakCount="1">
    <brk id="10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J61"/>
  <sheetViews>
    <sheetView view="pageBreakPreview" zoomScaleNormal="100" zoomScaleSheetLayoutView="100" workbookViewId="0">
      <selection activeCell="C1" sqref="C1:F1"/>
    </sheetView>
  </sheetViews>
  <sheetFormatPr defaultRowHeight="12.75"/>
  <cols>
    <col min="1" max="1" width="5.140625" style="1" customWidth="1"/>
    <col min="2" max="2" width="51.5703125" style="1" customWidth="1"/>
    <col min="3" max="3" width="7.140625" style="1" customWidth="1"/>
    <col min="4" max="4" width="10.140625" style="1" customWidth="1"/>
    <col min="5" max="5" width="11.28515625" style="1" customWidth="1"/>
    <col min="6" max="6" width="13.7109375" style="1" customWidth="1"/>
    <col min="7" max="7" width="10.140625" style="1" bestFit="1" customWidth="1"/>
    <col min="8" max="8" width="11.140625" style="1" bestFit="1" customWidth="1"/>
    <col min="9" max="256" width="9.140625" style="1"/>
    <col min="257" max="257" width="5.140625" style="1" customWidth="1"/>
    <col min="258" max="258" width="46.85546875" style="1" customWidth="1"/>
    <col min="259" max="259" width="7.140625" style="1" customWidth="1"/>
    <col min="260" max="260" width="10.140625" style="1" customWidth="1"/>
    <col min="261" max="261" width="11.28515625" style="1" customWidth="1"/>
    <col min="262" max="262" width="13.7109375" style="1" customWidth="1"/>
    <col min="263" max="512" width="9.140625" style="1"/>
    <col min="513" max="513" width="5.140625" style="1" customWidth="1"/>
    <col min="514" max="514" width="46.85546875" style="1" customWidth="1"/>
    <col min="515" max="515" width="7.140625" style="1" customWidth="1"/>
    <col min="516" max="516" width="10.140625" style="1" customWidth="1"/>
    <col min="517" max="517" width="11.28515625" style="1" customWidth="1"/>
    <col min="518" max="518" width="13.7109375" style="1" customWidth="1"/>
    <col min="519" max="768" width="9.140625" style="1"/>
    <col min="769" max="769" width="5.140625" style="1" customWidth="1"/>
    <col min="770" max="770" width="46.85546875" style="1" customWidth="1"/>
    <col min="771" max="771" width="7.140625" style="1" customWidth="1"/>
    <col min="772" max="772" width="10.140625" style="1" customWidth="1"/>
    <col min="773" max="773" width="11.28515625" style="1" customWidth="1"/>
    <col min="774" max="774" width="13.7109375" style="1" customWidth="1"/>
    <col min="775" max="1024" width="9.140625" style="1"/>
    <col min="1025" max="1025" width="5.140625" style="1" customWidth="1"/>
    <col min="1026" max="1026" width="46.85546875" style="1" customWidth="1"/>
    <col min="1027" max="1027" width="7.140625" style="1" customWidth="1"/>
    <col min="1028" max="1028" width="10.140625" style="1" customWidth="1"/>
    <col min="1029" max="1029" width="11.28515625" style="1" customWidth="1"/>
    <col min="1030" max="1030" width="13.7109375" style="1" customWidth="1"/>
    <col min="1031" max="1280" width="9.140625" style="1"/>
    <col min="1281" max="1281" width="5.140625" style="1" customWidth="1"/>
    <col min="1282" max="1282" width="46.85546875" style="1" customWidth="1"/>
    <col min="1283" max="1283" width="7.140625" style="1" customWidth="1"/>
    <col min="1284" max="1284" width="10.140625" style="1" customWidth="1"/>
    <col min="1285" max="1285" width="11.28515625" style="1" customWidth="1"/>
    <col min="1286" max="1286" width="13.7109375" style="1" customWidth="1"/>
    <col min="1287" max="1536" width="9.140625" style="1"/>
    <col min="1537" max="1537" width="5.140625" style="1" customWidth="1"/>
    <col min="1538" max="1538" width="46.85546875" style="1" customWidth="1"/>
    <col min="1539" max="1539" width="7.140625" style="1" customWidth="1"/>
    <col min="1540" max="1540" width="10.140625" style="1" customWidth="1"/>
    <col min="1541" max="1541" width="11.28515625" style="1" customWidth="1"/>
    <col min="1542" max="1542" width="13.7109375" style="1" customWidth="1"/>
    <col min="1543" max="1792" width="9.140625" style="1"/>
    <col min="1793" max="1793" width="5.140625" style="1" customWidth="1"/>
    <col min="1794" max="1794" width="46.85546875" style="1" customWidth="1"/>
    <col min="1795" max="1795" width="7.140625" style="1" customWidth="1"/>
    <col min="1796" max="1796" width="10.140625" style="1" customWidth="1"/>
    <col min="1797" max="1797" width="11.28515625" style="1" customWidth="1"/>
    <col min="1798" max="1798" width="13.7109375" style="1" customWidth="1"/>
    <col min="1799" max="2048" width="9.140625" style="1"/>
    <col min="2049" max="2049" width="5.140625" style="1" customWidth="1"/>
    <col min="2050" max="2050" width="46.85546875" style="1" customWidth="1"/>
    <col min="2051" max="2051" width="7.140625" style="1" customWidth="1"/>
    <col min="2052" max="2052" width="10.140625" style="1" customWidth="1"/>
    <col min="2053" max="2053" width="11.28515625" style="1" customWidth="1"/>
    <col min="2054" max="2054" width="13.7109375" style="1" customWidth="1"/>
    <col min="2055" max="2304" width="9.140625" style="1"/>
    <col min="2305" max="2305" width="5.140625" style="1" customWidth="1"/>
    <col min="2306" max="2306" width="46.85546875" style="1" customWidth="1"/>
    <col min="2307" max="2307" width="7.140625" style="1" customWidth="1"/>
    <col min="2308" max="2308" width="10.140625" style="1" customWidth="1"/>
    <col min="2309" max="2309" width="11.28515625" style="1" customWidth="1"/>
    <col min="2310" max="2310" width="13.7109375" style="1" customWidth="1"/>
    <col min="2311" max="2560" width="9.140625" style="1"/>
    <col min="2561" max="2561" width="5.140625" style="1" customWidth="1"/>
    <col min="2562" max="2562" width="46.85546875" style="1" customWidth="1"/>
    <col min="2563" max="2563" width="7.140625" style="1" customWidth="1"/>
    <col min="2564" max="2564" width="10.140625" style="1" customWidth="1"/>
    <col min="2565" max="2565" width="11.28515625" style="1" customWidth="1"/>
    <col min="2566" max="2566" width="13.7109375" style="1" customWidth="1"/>
    <col min="2567" max="2816" width="9.140625" style="1"/>
    <col min="2817" max="2817" width="5.140625" style="1" customWidth="1"/>
    <col min="2818" max="2818" width="46.85546875" style="1" customWidth="1"/>
    <col min="2819" max="2819" width="7.140625" style="1" customWidth="1"/>
    <col min="2820" max="2820" width="10.140625" style="1" customWidth="1"/>
    <col min="2821" max="2821" width="11.28515625" style="1" customWidth="1"/>
    <col min="2822" max="2822" width="13.7109375" style="1" customWidth="1"/>
    <col min="2823" max="3072" width="9.140625" style="1"/>
    <col min="3073" max="3073" width="5.140625" style="1" customWidth="1"/>
    <col min="3074" max="3074" width="46.85546875" style="1" customWidth="1"/>
    <col min="3075" max="3075" width="7.140625" style="1" customWidth="1"/>
    <col min="3076" max="3076" width="10.140625" style="1" customWidth="1"/>
    <col min="3077" max="3077" width="11.28515625" style="1" customWidth="1"/>
    <col min="3078" max="3078" width="13.7109375" style="1" customWidth="1"/>
    <col min="3079" max="3328" width="9.140625" style="1"/>
    <col min="3329" max="3329" width="5.140625" style="1" customWidth="1"/>
    <col min="3330" max="3330" width="46.85546875" style="1" customWidth="1"/>
    <col min="3331" max="3331" width="7.140625" style="1" customWidth="1"/>
    <col min="3332" max="3332" width="10.140625" style="1" customWidth="1"/>
    <col min="3333" max="3333" width="11.28515625" style="1" customWidth="1"/>
    <col min="3334" max="3334" width="13.7109375" style="1" customWidth="1"/>
    <col min="3335" max="3584" width="9.140625" style="1"/>
    <col min="3585" max="3585" width="5.140625" style="1" customWidth="1"/>
    <col min="3586" max="3586" width="46.85546875" style="1" customWidth="1"/>
    <col min="3587" max="3587" width="7.140625" style="1" customWidth="1"/>
    <col min="3588" max="3588" width="10.140625" style="1" customWidth="1"/>
    <col min="3589" max="3589" width="11.28515625" style="1" customWidth="1"/>
    <col min="3590" max="3590" width="13.7109375" style="1" customWidth="1"/>
    <col min="3591" max="3840" width="9.140625" style="1"/>
    <col min="3841" max="3841" width="5.140625" style="1" customWidth="1"/>
    <col min="3842" max="3842" width="46.85546875" style="1" customWidth="1"/>
    <col min="3843" max="3843" width="7.140625" style="1" customWidth="1"/>
    <col min="3844" max="3844" width="10.140625" style="1" customWidth="1"/>
    <col min="3845" max="3845" width="11.28515625" style="1" customWidth="1"/>
    <col min="3846" max="3846" width="13.7109375" style="1" customWidth="1"/>
    <col min="3847" max="4096" width="9.140625" style="1"/>
    <col min="4097" max="4097" width="5.140625" style="1" customWidth="1"/>
    <col min="4098" max="4098" width="46.85546875" style="1" customWidth="1"/>
    <col min="4099" max="4099" width="7.140625" style="1" customWidth="1"/>
    <col min="4100" max="4100" width="10.140625" style="1" customWidth="1"/>
    <col min="4101" max="4101" width="11.28515625" style="1" customWidth="1"/>
    <col min="4102" max="4102" width="13.7109375" style="1" customWidth="1"/>
    <col min="4103" max="4352" width="9.140625" style="1"/>
    <col min="4353" max="4353" width="5.140625" style="1" customWidth="1"/>
    <col min="4354" max="4354" width="46.85546875" style="1" customWidth="1"/>
    <col min="4355" max="4355" width="7.140625" style="1" customWidth="1"/>
    <col min="4356" max="4356" width="10.140625" style="1" customWidth="1"/>
    <col min="4357" max="4357" width="11.28515625" style="1" customWidth="1"/>
    <col min="4358" max="4358" width="13.7109375" style="1" customWidth="1"/>
    <col min="4359" max="4608" width="9.140625" style="1"/>
    <col min="4609" max="4609" width="5.140625" style="1" customWidth="1"/>
    <col min="4610" max="4610" width="46.85546875" style="1" customWidth="1"/>
    <col min="4611" max="4611" width="7.140625" style="1" customWidth="1"/>
    <col min="4612" max="4612" width="10.140625" style="1" customWidth="1"/>
    <col min="4613" max="4613" width="11.28515625" style="1" customWidth="1"/>
    <col min="4614" max="4614" width="13.7109375" style="1" customWidth="1"/>
    <col min="4615" max="4864" width="9.140625" style="1"/>
    <col min="4865" max="4865" width="5.140625" style="1" customWidth="1"/>
    <col min="4866" max="4866" width="46.85546875" style="1" customWidth="1"/>
    <col min="4867" max="4867" width="7.140625" style="1" customWidth="1"/>
    <col min="4868" max="4868" width="10.140625" style="1" customWidth="1"/>
    <col min="4869" max="4869" width="11.28515625" style="1" customWidth="1"/>
    <col min="4870" max="4870" width="13.7109375" style="1" customWidth="1"/>
    <col min="4871" max="5120" width="9.140625" style="1"/>
    <col min="5121" max="5121" width="5.140625" style="1" customWidth="1"/>
    <col min="5122" max="5122" width="46.85546875" style="1" customWidth="1"/>
    <col min="5123" max="5123" width="7.140625" style="1" customWidth="1"/>
    <col min="5124" max="5124" width="10.140625" style="1" customWidth="1"/>
    <col min="5125" max="5125" width="11.28515625" style="1" customWidth="1"/>
    <col min="5126" max="5126" width="13.7109375" style="1" customWidth="1"/>
    <col min="5127" max="5376" width="9.140625" style="1"/>
    <col min="5377" max="5377" width="5.140625" style="1" customWidth="1"/>
    <col min="5378" max="5378" width="46.85546875" style="1" customWidth="1"/>
    <col min="5379" max="5379" width="7.140625" style="1" customWidth="1"/>
    <col min="5380" max="5380" width="10.140625" style="1" customWidth="1"/>
    <col min="5381" max="5381" width="11.28515625" style="1" customWidth="1"/>
    <col min="5382" max="5382" width="13.7109375" style="1" customWidth="1"/>
    <col min="5383" max="5632" width="9.140625" style="1"/>
    <col min="5633" max="5633" width="5.140625" style="1" customWidth="1"/>
    <col min="5634" max="5634" width="46.85546875" style="1" customWidth="1"/>
    <col min="5635" max="5635" width="7.140625" style="1" customWidth="1"/>
    <col min="5636" max="5636" width="10.140625" style="1" customWidth="1"/>
    <col min="5637" max="5637" width="11.28515625" style="1" customWidth="1"/>
    <col min="5638" max="5638" width="13.7109375" style="1" customWidth="1"/>
    <col min="5639" max="5888" width="9.140625" style="1"/>
    <col min="5889" max="5889" width="5.140625" style="1" customWidth="1"/>
    <col min="5890" max="5890" width="46.85546875" style="1" customWidth="1"/>
    <col min="5891" max="5891" width="7.140625" style="1" customWidth="1"/>
    <col min="5892" max="5892" width="10.140625" style="1" customWidth="1"/>
    <col min="5893" max="5893" width="11.28515625" style="1" customWidth="1"/>
    <col min="5894" max="5894" width="13.7109375" style="1" customWidth="1"/>
    <col min="5895" max="6144" width="9.140625" style="1"/>
    <col min="6145" max="6145" width="5.140625" style="1" customWidth="1"/>
    <col min="6146" max="6146" width="46.85546875" style="1" customWidth="1"/>
    <col min="6147" max="6147" width="7.140625" style="1" customWidth="1"/>
    <col min="6148" max="6148" width="10.140625" style="1" customWidth="1"/>
    <col min="6149" max="6149" width="11.28515625" style="1" customWidth="1"/>
    <col min="6150" max="6150" width="13.7109375" style="1" customWidth="1"/>
    <col min="6151" max="6400" width="9.140625" style="1"/>
    <col min="6401" max="6401" width="5.140625" style="1" customWidth="1"/>
    <col min="6402" max="6402" width="46.85546875" style="1" customWidth="1"/>
    <col min="6403" max="6403" width="7.140625" style="1" customWidth="1"/>
    <col min="6404" max="6404" width="10.140625" style="1" customWidth="1"/>
    <col min="6405" max="6405" width="11.28515625" style="1" customWidth="1"/>
    <col min="6406" max="6406" width="13.7109375" style="1" customWidth="1"/>
    <col min="6407" max="6656" width="9.140625" style="1"/>
    <col min="6657" max="6657" width="5.140625" style="1" customWidth="1"/>
    <col min="6658" max="6658" width="46.85546875" style="1" customWidth="1"/>
    <col min="6659" max="6659" width="7.140625" style="1" customWidth="1"/>
    <col min="6660" max="6660" width="10.140625" style="1" customWidth="1"/>
    <col min="6661" max="6661" width="11.28515625" style="1" customWidth="1"/>
    <col min="6662" max="6662" width="13.7109375" style="1" customWidth="1"/>
    <col min="6663" max="6912" width="9.140625" style="1"/>
    <col min="6913" max="6913" width="5.140625" style="1" customWidth="1"/>
    <col min="6914" max="6914" width="46.85546875" style="1" customWidth="1"/>
    <col min="6915" max="6915" width="7.140625" style="1" customWidth="1"/>
    <col min="6916" max="6916" width="10.140625" style="1" customWidth="1"/>
    <col min="6917" max="6917" width="11.28515625" style="1" customWidth="1"/>
    <col min="6918" max="6918" width="13.7109375" style="1" customWidth="1"/>
    <col min="6919" max="7168" width="9.140625" style="1"/>
    <col min="7169" max="7169" width="5.140625" style="1" customWidth="1"/>
    <col min="7170" max="7170" width="46.85546875" style="1" customWidth="1"/>
    <col min="7171" max="7171" width="7.140625" style="1" customWidth="1"/>
    <col min="7172" max="7172" width="10.140625" style="1" customWidth="1"/>
    <col min="7173" max="7173" width="11.28515625" style="1" customWidth="1"/>
    <col min="7174" max="7174" width="13.7109375" style="1" customWidth="1"/>
    <col min="7175" max="7424" width="9.140625" style="1"/>
    <col min="7425" max="7425" width="5.140625" style="1" customWidth="1"/>
    <col min="7426" max="7426" width="46.85546875" style="1" customWidth="1"/>
    <col min="7427" max="7427" width="7.140625" style="1" customWidth="1"/>
    <col min="7428" max="7428" width="10.140625" style="1" customWidth="1"/>
    <col min="7429" max="7429" width="11.28515625" style="1" customWidth="1"/>
    <col min="7430" max="7430" width="13.7109375" style="1" customWidth="1"/>
    <col min="7431" max="7680" width="9.140625" style="1"/>
    <col min="7681" max="7681" width="5.140625" style="1" customWidth="1"/>
    <col min="7682" max="7682" width="46.85546875" style="1" customWidth="1"/>
    <col min="7683" max="7683" width="7.140625" style="1" customWidth="1"/>
    <col min="7684" max="7684" width="10.140625" style="1" customWidth="1"/>
    <col min="7685" max="7685" width="11.28515625" style="1" customWidth="1"/>
    <col min="7686" max="7686" width="13.7109375" style="1" customWidth="1"/>
    <col min="7687" max="7936" width="9.140625" style="1"/>
    <col min="7937" max="7937" width="5.140625" style="1" customWidth="1"/>
    <col min="7938" max="7938" width="46.85546875" style="1" customWidth="1"/>
    <col min="7939" max="7939" width="7.140625" style="1" customWidth="1"/>
    <col min="7940" max="7940" width="10.140625" style="1" customWidth="1"/>
    <col min="7941" max="7941" width="11.28515625" style="1" customWidth="1"/>
    <col min="7942" max="7942" width="13.7109375" style="1" customWidth="1"/>
    <col min="7943" max="8192" width="9.140625" style="1"/>
    <col min="8193" max="8193" width="5.140625" style="1" customWidth="1"/>
    <col min="8194" max="8194" width="46.85546875" style="1" customWidth="1"/>
    <col min="8195" max="8195" width="7.140625" style="1" customWidth="1"/>
    <col min="8196" max="8196" width="10.140625" style="1" customWidth="1"/>
    <col min="8197" max="8197" width="11.28515625" style="1" customWidth="1"/>
    <col min="8198" max="8198" width="13.7109375" style="1" customWidth="1"/>
    <col min="8199" max="8448" width="9.140625" style="1"/>
    <col min="8449" max="8449" width="5.140625" style="1" customWidth="1"/>
    <col min="8450" max="8450" width="46.85546875" style="1" customWidth="1"/>
    <col min="8451" max="8451" width="7.140625" style="1" customWidth="1"/>
    <col min="8452" max="8452" width="10.140625" style="1" customWidth="1"/>
    <col min="8453" max="8453" width="11.28515625" style="1" customWidth="1"/>
    <col min="8454" max="8454" width="13.7109375" style="1" customWidth="1"/>
    <col min="8455" max="8704" width="9.140625" style="1"/>
    <col min="8705" max="8705" width="5.140625" style="1" customWidth="1"/>
    <col min="8706" max="8706" width="46.85546875" style="1" customWidth="1"/>
    <col min="8707" max="8707" width="7.140625" style="1" customWidth="1"/>
    <col min="8708" max="8708" width="10.140625" style="1" customWidth="1"/>
    <col min="8709" max="8709" width="11.28515625" style="1" customWidth="1"/>
    <col min="8710" max="8710" width="13.7109375" style="1" customWidth="1"/>
    <col min="8711" max="8960" width="9.140625" style="1"/>
    <col min="8961" max="8961" width="5.140625" style="1" customWidth="1"/>
    <col min="8962" max="8962" width="46.85546875" style="1" customWidth="1"/>
    <col min="8963" max="8963" width="7.140625" style="1" customWidth="1"/>
    <col min="8964" max="8964" width="10.140625" style="1" customWidth="1"/>
    <col min="8965" max="8965" width="11.28515625" style="1" customWidth="1"/>
    <col min="8966" max="8966" width="13.7109375" style="1" customWidth="1"/>
    <col min="8967" max="9216" width="9.140625" style="1"/>
    <col min="9217" max="9217" width="5.140625" style="1" customWidth="1"/>
    <col min="9218" max="9218" width="46.85546875" style="1" customWidth="1"/>
    <col min="9219" max="9219" width="7.140625" style="1" customWidth="1"/>
    <col min="9220" max="9220" width="10.140625" style="1" customWidth="1"/>
    <col min="9221" max="9221" width="11.28515625" style="1" customWidth="1"/>
    <col min="9222" max="9222" width="13.7109375" style="1" customWidth="1"/>
    <col min="9223" max="9472" width="9.140625" style="1"/>
    <col min="9473" max="9473" width="5.140625" style="1" customWidth="1"/>
    <col min="9474" max="9474" width="46.85546875" style="1" customWidth="1"/>
    <col min="9475" max="9475" width="7.140625" style="1" customWidth="1"/>
    <col min="9476" max="9476" width="10.140625" style="1" customWidth="1"/>
    <col min="9477" max="9477" width="11.28515625" style="1" customWidth="1"/>
    <col min="9478" max="9478" width="13.7109375" style="1" customWidth="1"/>
    <col min="9479" max="9728" width="9.140625" style="1"/>
    <col min="9729" max="9729" width="5.140625" style="1" customWidth="1"/>
    <col min="9730" max="9730" width="46.85546875" style="1" customWidth="1"/>
    <col min="9731" max="9731" width="7.140625" style="1" customWidth="1"/>
    <col min="9732" max="9732" width="10.140625" style="1" customWidth="1"/>
    <col min="9733" max="9733" width="11.28515625" style="1" customWidth="1"/>
    <col min="9734" max="9734" width="13.7109375" style="1" customWidth="1"/>
    <col min="9735" max="9984" width="9.140625" style="1"/>
    <col min="9985" max="9985" width="5.140625" style="1" customWidth="1"/>
    <col min="9986" max="9986" width="46.85546875" style="1" customWidth="1"/>
    <col min="9987" max="9987" width="7.140625" style="1" customWidth="1"/>
    <col min="9988" max="9988" width="10.140625" style="1" customWidth="1"/>
    <col min="9989" max="9989" width="11.28515625" style="1" customWidth="1"/>
    <col min="9990" max="9990" width="13.7109375" style="1" customWidth="1"/>
    <col min="9991" max="10240" width="9.140625" style="1"/>
    <col min="10241" max="10241" width="5.140625" style="1" customWidth="1"/>
    <col min="10242" max="10242" width="46.85546875" style="1" customWidth="1"/>
    <col min="10243" max="10243" width="7.140625" style="1" customWidth="1"/>
    <col min="10244" max="10244" width="10.140625" style="1" customWidth="1"/>
    <col min="10245" max="10245" width="11.28515625" style="1" customWidth="1"/>
    <col min="10246" max="10246" width="13.7109375" style="1" customWidth="1"/>
    <col min="10247" max="10496" width="9.140625" style="1"/>
    <col min="10497" max="10497" width="5.140625" style="1" customWidth="1"/>
    <col min="10498" max="10498" width="46.85546875" style="1" customWidth="1"/>
    <col min="10499" max="10499" width="7.140625" style="1" customWidth="1"/>
    <col min="10500" max="10500" width="10.140625" style="1" customWidth="1"/>
    <col min="10501" max="10501" width="11.28515625" style="1" customWidth="1"/>
    <col min="10502" max="10502" width="13.7109375" style="1" customWidth="1"/>
    <col min="10503" max="10752" width="9.140625" style="1"/>
    <col min="10753" max="10753" width="5.140625" style="1" customWidth="1"/>
    <col min="10754" max="10754" width="46.85546875" style="1" customWidth="1"/>
    <col min="10755" max="10755" width="7.140625" style="1" customWidth="1"/>
    <col min="10756" max="10756" width="10.140625" style="1" customWidth="1"/>
    <col min="10757" max="10757" width="11.28515625" style="1" customWidth="1"/>
    <col min="10758" max="10758" width="13.7109375" style="1" customWidth="1"/>
    <col min="10759" max="11008" width="9.140625" style="1"/>
    <col min="11009" max="11009" width="5.140625" style="1" customWidth="1"/>
    <col min="11010" max="11010" width="46.85546875" style="1" customWidth="1"/>
    <col min="11011" max="11011" width="7.140625" style="1" customWidth="1"/>
    <col min="11012" max="11012" width="10.140625" style="1" customWidth="1"/>
    <col min="11013" max="11013" width="11.28515625" style="1" customWidth="1"/>
    <col min="11014" max="11014" width="13.7109375" style="1" customWidth="1"/>
    <col min="11015" max="11264" width="9.140625" style="1"/>
    <col min="11265" max="11265" width="5.140625" style="1" customWidth="1"/>
    <col min="11266" max="11266" width="46.85546875" style="1" customWidth="1"/>
    <col min="11267" max="11267" width="7.140625" style="1" customWidth="1"/>
    <col min="11268" max="11268" width="10.140625" style="1" customWidth="1"/>
    <col min="11269" max="11269" width="11.28515625" style="1" customWidth="1"/>
    <col min="11270" max="11270" width="13.7109375" style="1" customWidth="1"/>
    <col min="11271" max="11520" width="9.140625" style="1"/>
    <col min="11521" max="11521" width="5.140625" style="1" customWidth="1"/>
    <col min="11522" max="11522" width="46.85546875" style="1" customWidth="1"/>
    <col min="11523" max="11523" width="7.140625" style="1" customWidth="1"/>
    <col min="11524" max="11524" width="10.140625" style="1" customWidth="1"/>
    <col min="11525" max="11525" width="11.28515625" style="1" customWidth="1"/>
    <col min="11526" max="11526" width="13.7109375" style="1" customWidth="1"/>
    <col min="11527" max="11776" width="9.140625" style="1"/>
    <col min="11777" max="11777" width="5.140625" style="1" customWidth="1"/>
    <col min="11778" max="11778" width="46.85546875" style="1" customWidth="1"/>
    <col min="11779" max="11779" width="7.140625" style="1" customWidth="1"/>
    <col min="11780" max="11780" width="10.140625" style="1" customWidth="1"/>
    <col min="11781" max="11781" width="11.28515625" style="1" customWidth="1"/>
    <col min="11782" max="11782" width="13.7109375" style="1" customWidth="1"/>
    <col min="11783" max="12032" width="9.140625" style="1"/>
    <col min="12033" max="12033" width="5.140625" style="1" customWidth="1"/>
    <col min="12034" max="12034" width="46.85546875" style="1" customWidth="1"/>
    <col min="12035" max="12035" width="7.140625" style="1" customWidth="1"/>
    <col min="12036" max="12036" width="10.140625" style="1" customWidth="1"/>
    <col min="12037" max="12037" width="11.28515625" style="1" customWidth="1"/>
    <col min="12038" max="12038" width="13.7109375" style="1" customWidth="1"/>
    <col min="12039" max="12288" width="9.140625" style="1"/>
    <col min="12289" max="12289" width="5.140625" style="1" customWidth="1"/>
    <col min="12290" max="12290" width="46.85546875" style="1" customWidth="1"/>
    <col min="12291" max="12291" width="7.140625" style="1" customWidth="1"/>
    <col min="12292" max="12292" width="10.140625" style="1" customWidth="1"/>
    <col min="12293" max="12293" width="11.28515625" style="1" customWidth="1"/>
    <col min="12294" max="12294" width="13.7109375" style="1" customWidth="1"/>
    <col min="12295" max="12544" width="9.140625" style="1"/>
    <col min="12545" max="12545" width="5.140625" style="1" customWidth="1"/>
    <col min="12546" max="12546" width="46.85546875" style="1" customWidth="1"/>
    <col min="12547" max="12547" width="7.140625" style="1" customWidth="1"/>
    <col min="12548" max="12548" width="10.140625" style="1" customWidth="1"/>
    <col min="12549" max="12549" width="11.28515625" style="1" customWidth="1"/>
    <col min="12550" max="12550" width="13.7109375" style="1" customWidth="1"/>
    <col min="12551" max="12800" width="9.140625" style="1"/>
    <col min="12801" max="12801" width="5.140625" style="1" customWidth="1"/>
    <col min="12802" max="12802" width="46.85546875" style="1" customWidth="1"/>
    <col min="12803" max="12803" width="7.140625" style="1" customWidth="1"/>
    <col min="12804" max="12804" width="10.140625" style="1" customWidth="1"/>
    <col min="12805" max="12805" width="11.28515625" style="1" customWidth="1"/>
    <col min="12806" max="12806" width="13.7109375" style="1" customWidth="1"/>
    <col min="12807" max="13056" width="9.140625" style="1"/>
    <col min="13057" max="13057" width="5.140625" style="1" customWidth="1"/>
    <col min="13058" max="13058" width="46.85546875" style="1" customWidth="1"/>
    <col min="13059" max="13059" width="7.140625" style="1" customWidth="1"/>
    <col min="13060" max="13060" width="10.140625" style="1" customWidth="1"/>
    <col min="13061" max="13061" width="11.28515625" style="1" customWidth="1"/>
    <col min="13062" max="13062" width="13.7109375" style="1" customWidth="1"/>
    <col min="13063" max="13312" width="9.140625" style="1"/>
    <col min="13313" max="13313" width="5.140625" style="1" customWidth="1"/>
    <col min="13314" max="13314" width="46.85546875" style="1" customWidth="1"/>
    <col min="13315" max="13315" width="7.140625" style="1" customWidth="1"/>
    <col min="13316" max="13316" width="10.140625" style="1" customWidth="1"/>
    <col min="13317" max="13317" width="11.28515625" style="1" customWidth="1"/>
    <col min="13318" max="13318" width="13.7109375" style="1" customWidth="1"/>
    <col min="13319" max="13568" width="9.140625" style="1"/>
    <col min="13569" max="13569" width="5.140625" style="1" customWidth="1"/>
    <col min="13570" max="13570" width="46.85546875" style="1" customWidth="1"/>
    <col min="13571" max="13571" width="7.140625" style="1" customWidth="1"/>
    <col min="13572" max="13572" width="10.140625" style="1" customWidth="1"/>
    <col min="13573" max="13573" width="11.28515625" style="1" customWidth="1"/>
    <col min="13574" max="13574" width="13.7109375" style="1" customWidth="1"/>
    <col min="13575" max="13824" width="9.140625" style="1"/>
    <col min="13825" max="13825" width="5.140625" style="1" customWidth="1"/>
    <col min="13826" max="13826" width="46.85546875" style="1" customWidth="1"/>
    <col min="13827" max="13827" width="7.140625" style="1" customWidth="1"/>
    <col min="13828" max="13828" width="10.140625" style="1" customWidth="1"/>
    <col min="13829" max="13829" width="11.28515625" style="1" customWidth="1"/>
    <col min="13830" max="13830" width="13.7109375" style="1" customWidth="1"/>
    <col min="13831" max="14080" width="9.140625" style="1"/>
    <col min="14081" max="14081" width="5.140625" style="1" customWidth="1"/>
    <col min="14082" max="14082" width="46.85546875" style="1" customWidth="1"/>
    <col min="14083" max="14083" width="7.140625" style="1" customWidth="1"/>
    <col min="14084" max="14084" width="10.140625" style="1" customWidth="1"/>
    <col min="14085" max="14085" width="11.28515625" style="1" customWidth="1"/>
    <col min="14086" max="14086" width="13.7109375" style="1" customWidth="1"/>
    <col min="14087" max="14336" width="9.140625" style="1"/>
    <col min="14337" max="14337" width="5.140625" style="1" customWidth="1"/>
    <col min="14338" max="14338" width="46.85546875" style="1" customWidth="1"/>
    <col min="14339" max="14339" width="7.140625" style="1" customWidth="1"/>
    <col min="14340" max="14340" width="10.140625" style="1" customWidth="1"/>
    <col min="14341" max="14341" width="11.28515625" style="1" customWidth="1"/>
    <col min="14342" max="14342" width="13.7109375" style="1" customWidth="1"/>
    <col min="14343" max="14592" width="9.140625" style="1"/>
    <col min="14593" max="14593" width="5.140625" style="1" customWidth="1"/>
    <col min="14594" max="14594" width="46.85546875" style="1" customWidth="1"/>
    <col min="14595" max="14595" width="7.140625" style="1" customWidth="1"/>
    <col min="14596" max="14596" width="10.140625" style="1" customWidth="1"/>
    <col min="14597" max="14597" width="11.28515625" style="1" customWidth="1"/>
    <col min="14598" max="14598" width="13.7109375" style="1" customWidth="1"/>
    <col min="14599" max="14848" width="9.140625" style="1"/>
    <col min="14849" max="14849" width="5.140625" style="1" customWidth="1"/>
    <col min="14850" max="14850" width="46.85546875" style="1" customWidth="1"/>
    <col min="14851" max="14851" width="7.140625" style="1" customWidth="1"/>
    <col min="14852" max="14852" width="10.140625" style="1" customWidth="1"/>
    <col min="14853" max="14853" width="11.28515625" style="1" customWidth="1"/>
    <col min="14854" max="14854" width="13.7109375" style="1" customWidth="1"/>
    <col min="14855" max="15104" width="9.140625" style="1"/>
    <col min="15105" max="15105" width="5.140625" style="1" customWidth="1"/>
    <col min="15106" max="15106" width="46.85546875" style="1" customWidth="1"/>
    <col min="15107" max="15107" width="7.140625" style="1" customWidth="1"/>
    <col min="15108" max="15108" width="10.140625" style="1" customWidth="1"/>
    <col min="15109" max="15109" width="11.28515625" style="1" customWidth="1"/>
    <col min="15110" max="15110" width="13.7109375" style="1" customWidth="1"/>
    <col min="15111" max="15360" width="9.140625" style="1"/>
    <col min="15361" max="15361" width="5.140625" style="1" customWidth="1"/>
    <col min="15362" max="15362" width="46.85546875" style="1" customWidth="1"/>
    <col min="15363" max="15363" width="7.140625" style="1" customWidth="1"/>
    <col min="15364" max="15364" width="10.140625" style="1" customWidth="1"/>
    <col min="15365" max="15365" width="11.28515625" style="1" customWidth="1"/>
    <col min="15366" max="15366" width="13.7109375" style="1" customWidth="1"/>
    <col min="15367" max="15616" width="9.140625" style="1"/>
    <col min="15617" max="15617" width="5.140625" style="1" customWidth="1"/>
    <col min="15618" max="15618" width="46.85546875" style="1" customWidth="1"/>
    <col min="15619" max="15619" width="7.140625" style="1" customWidth="1"/>
    <col min="15620" max="15620" width="10.140625" style="1" customWidth="1"/>
    <col min="15621" max="15621" width="11.28515625" style="1" customWidth="1"/>
    <col min="15622" max="15622" width="13.7109375" style="1" customWidth="1"/>
    <col min="15623" max="15872" width="9.140625" style="1"/>
    <col min="15873" max="15873" width="5.140625" style="1" customWidth="1"/>
    <col min="15874" max="15874" width="46.85546875" style="1" customWidth="1"/>
    <col min="15875" max="15875" width="7.140625" style="1" customWidth="1"/>
    <col min="15876" max="15876" width="10.140625" style="1" customWidth="1"/>
    <col min="15877" max="15877" width="11.28515625" style="1" customWidth="1"/>
    <col min="15878" max="15878" width="13.7109375" style="1" customWidth="1"/>
    <col min="15879" max="16128" width="9.140625" style="1"/>
    <col min="16129" max="16129" width="5.140625" style="1" customWidth="1"/>
    <col min="16130" max="16130" width="46.85546875" style="1" customWidth="1"/>
    <col min="16131" max="16131" width="7.140625" style="1" customWidth="1"/>
    <col min="16132" max="16132" width="10.140625" style="1" customWidth="1"/>
    <col min="16133" max="16133" width="11.28515625" style="1" customWidth="1"/>
    <col min="16134" max="16134" width="13.7109375" style="1" customWidth="1"/>
    <col min="16135" max="16384" width="9.140625" style="1"/>
  </cols>
  <sheetData>
    <row r="1" spans="1:6" ht="50.25" customHeight="1">
      <c r="A1" s="1861"/>
      <c r="B1" s="1861"/>
      <c r="C1" s="1862" t="s">
        <v>1054</v>
      </c>
      <c r="D1" s="1862"/>
      <c r="E1" s="1862"/>
      <c r="F1" s="1862"/>
    </row>
    <row r="2" spans="1:6" ht="15">
      <c r="A2" s="1863" t="s">
        <v>56</v>
      </c>
      <c r="B2" s="1863"/>
      <c r="C2" s="1863"/>
      <c r="D2" s="1863"/>
      <c r="E2" s="1863"/>
      <c r="F2" s="1863"/>
    </row>
    <row r="3" spans="1:6" ht="9" customHeight="1">
      <c r="A3" s="30"/>
      <c r="B3" s="30"/>
      <c r="C3" s="30"/>
      <c r="D3" s="30"/>
      <c r="E3" s="30"/>
      <c r="F3" s="30"/>
    </row>
    <row r="4" spans="1:6" ht="15" thickBot="1">
      <c r="A4" s="1864" t="s">
        <v>24</v>
      </c>
      <c r="B4" s="1864"/>
      <c r="C4" s="1864"/>
      <c r="D4" s="1864"/>
      <c r="E4" s="1864"/>
      <c r="F4" s="1864"/>
    </row>
    <row r="5" spans="1:6" ht="35.25" customHeight="1" thickBot="1">
      <c r="A5" s="147" t="s">
        <v>15</v>
      </c>
      <c r="B5" s="147" t="s">
        <v>34</v>
      </c>
      <c r="C5" s="147" t="s">
        <v>0</v>
      </c>
      <c r="D5" s="147" t="s">
        <v>1</v>
      </c>
      <c r="E5" s="147" t="s">
        <v>5</v>
      </c>
      <c r="F5" s="29" t="s">
        <v>33</v>
      </c>
    </row>
    <row r="6" spans="1:6">
      <c r="A6" s="140">
        <v>1</v>
      </c>
      <c r="B6" s="3" t="s">
        <v>200</v>
      </c>
      <c r="C6" s="1865">
        <v>921</v>
      </c>
      <c r="D6" s="1868">
        <v>92118</v>
      </c>
      <c r="E6" s="1868">
        <v>2480</v>
      </c>
      <c r="F6" s="149">
        <v>4400000</v>
      </c>
    </row>
    <row r="7" spans="1:6">
      <c r="A7" s="150">
        <v>2</v>
      </c>
      <c r="B7" s="23" t="s">
        <v>55</v>
      </c>
      <c r="C7" s="1866"/>
      <c r="D7" s="1869"/>
      <c r="E7" s="1869"/>
      <c r="F7" s="25">
        <v>3126000</v>
      </c>
    </row>
    <row r="8" spans="1:6">
      <c r="A8" s="150">
        <v>3</v>
      </c>
      <c r="B8" s="23" t="s">
        <v>54</v>
      </c>
      <c r="C8" s="1866"/>
      <c r="D8" s="1869"/>
      <c r="E8" s="1869"/>
      <c r="F8" s="24">
        <v>3573000</v>
      </c>
    </row>
    <row r="9" spans="1:6">
      <c r="A9" s="150">
        <v>4</v>
      </c>
      <c r="B9" s="23" t="s">
        <v>53</v>
      </c>
      <c r="C9" s="1866"/>
      <c r="D9" s="1869"/>
      <c r="E9" s="1869"/>
      <c r="F9" s="24">
        <v>2514000</v>
      </c>
    </row>
    <row r="10" spans="1:6" ht="15" customHeight="1">
      <c r="A10" s="150">
        <v>5</v>
      </c>
      <c r="B10" s="23" t="s">
        <v>52</v>
      </c>
      <c r="C10" s="1866"/>
      <c r="D10" s="1869"/>
      <c r="E10" s="1869"/>
      <c r="F10" s="24">
        <v>4313000</v>
      </c>
    </row>
    <row r="11" spans="1:6">
      <c r="A11" s="150">
        <v>6</v>
      </c>
      <c r="B11" s="23" t="s">
        <v>51</v>
      </c>
      <c r="C11" s="1866"/>
      <c r="D11" s="1869"/>
      <c r="E11" s="1869"/>
      <c r="F11" s="24">
        <v>3545598</v>
      </c>
    </row>
    <row r="12" spans="1:6">
      <c r="A12" s="151">
        <v>7</v>
      </c>
      <c r="B12" s="26" t="s">
        <v>50</v>
      </c>
      <c r="C12" s="1866"/>
      <c r="D12" s="1869"/>
      <c r="E12" s="1869"/>
      <c r="F12" s="106">
        <v>661000</v>
      </c>
    </row>
    <row r="13" spans="1:6" ht="26.25" thickBot="1">
      <c r="A13" s="178">
        <v>8</v>
      </c>
      <c r="B13" s="160" t="s">
        <v>186</v>
      </c>
      <c r="C13" s="1866"/>
      <c r="D13" s="1870"/>
      <c r="E13" s="1869"/>
      <c r="F13" s="179">
        <v>50000</v>
      </c>
    </row>
    <row r="14" spans="1:6" ht="13.5" thickBot="1">
      <c r="A14" s="1871" t="s">
        <v>49</v>
      </c>
      <c r="B14" s="1872"/>
      <c r="C14" s="1866"/>
      <c r="D14" s="28">
        <v>92118</v>
      </c>
      <c r="E14" s="1869"/>
      <c r="F14" s="107">
        <f>SUM(F6:F13)</f>
        <v>22182598</v>
      </c>
    </row>
    <row r="15" spans="1:6">
      <c r="A15" s="27">
        <v>8</v>
      </c>
      <c r="B15" s="3" t="s">
        <v>48</v>
      </c>
      <c r="C15" s="1866"/>
      <c r="D15" s="1873">
        <v>92109</v>
      </c>
      <c r="E15" s="1869"/>
      <c r="F15" s="152">
        <v>4133000</v>
      </c>
    </row>
    <row r="16" spans="1:6" ht="13.5" thickBot="1">
      <c r="A16" s="151">
        <v>9</v>
      </c>
      <c r="B16" s="26" t="s">
        <v>47</v>
      </c>
      <c r="C16" s="1866"/>
      <c r="D16" s="1874"/>
      <c r="E16" s="1869"/>
      <c r="F16" s="106">
        <v>2531500</v>
      </c>
    </row>
    <row r="17" spans="1:10" ht="13.5" thickBot="1">
      <c r="A17" s="1871" t="s">
        <v>46</v>
      </c>
      <c r="B17" s="1872"/>
      <c r="C17" s="1866"/>
      <c r="D17" s="28">
        <v>92109</v>
      </c>
      <c r="E17" s="1869"/>
      <c r="F17" s="107">
        <f>SUM(F15:F16)</f>
        <v>6664500</v>
      </c>
    </row>
    <row r="18" spans="1:10">
      <c r="A18" s="27">
        <v>10</v>
      </c>
      <c r="B18" s="3" t="s">
        <v>45</v>
      </c>
      <c r="C18" s="1866"/>
      <c r="D18" s="142">
        <v>92106</v>
      </c>
      <c r="E18" s="1869"/>
      <c r="F18" s="152">
        <v>5337000</v>
      </c>
    </row>
    <row r="19" spans="1:10" ht="25.5">
      <c r="A19" s="150">
        <v>11</v>
      </c>
      <c r="B19" s="23" t="s">
        <v>44</v>
      </c>
      <c r="C19" s="1866"/>
      <c r="D19" s="143">
        <v>92108</v>
      </c>
      <c r="E19" s="1869"/>
      <c r="F19" s="108">
        <v>6446500</v>
      </c>
    </row>
    <row r="20" spans="1:10">
      <c r="A20" s="150">
        <v>12</v>
      </c>
      <c r="B20" s="23" t="s">
        <v>43</v>
      </c>
      <c r="C20" s="1866"/>
      <c r="D20" s="143">
        <v>92110</v>
      </c>
      <c r="E20" s="1869"/>
      <c r="F20" s="108">
        <v>556000</v>
      </c>
    </row>
    <row r="21" spans="1:10" ht="17.25" customHeight="1">
      <c r="A21" s="150">
        <v>13</v>
      </c>
      <c r="B21" s="23" t="s">
        <v>42</v>
      </c>
      <c r="C21" s="1866"/>
      <c r="D21" s="143">
        <v>92114</v>
      </c>
      <c r="E21" s="1869"/>
      <c r="F21" s="108">
        <v>1510000</v>
      </c>
    </row>
    <row r="22" spans="1:10" ht="26.25" thickBot="1">
      <c r="A22" s="141">
        <v>14</v>
      </c>
      <c r="B22" s="26" t="s">
        <v>41</v>
      </c>
      <c r="C22" s="1867"/>
      <c r="D22" s="144">
        <v>92116</v>
      </c>
      <c r="E22" s="1870"/>
      <c r="F22" s="109">
        <v>7501016</v>
      </c>
      <c r="G22" s="2"/>
      <c r="J22" s="4"/>
    </row>
    <row r="23" spans="1:10" ht="15.75" thickBot="1">
      <c r="A23" s="1883" t="s">
        <v>40</v>
      </c>
      <c r="B23" s="1884"/>
      <c r="C23" s="1884"/>
      <c r="D23" s="1885"/>
      <c r="E23" s="139"/>
      <c r="F23" s="17">
        <f>SUM(F14,F17,F18:F22)</f>
        <v>50197614</v>
      </c>
      <c r="G23" s="2"/>
    </row>
    <row r="24" spans="1:10" ht="25.5">
      <c r="A24" s="168">
        <v>15</v>
      </c>
      <c r="B24" s="170" t="s">
        <v>111</v>
      </c>
      <c r="C24" s="1576">
        <v>851</v>
      </c>
      <c r="D24" s="1894">
        <v>85111</v>
      </c>
      <c r="E24" s="1875">
        <v>2560</v>
      </c>
      <c r="F24" s="167">
        <v>45000</v>
      </c>
    </row>
    <row r="25" spans="1:10" ht="15" customHeight="1">
      <c r="A25" s="168">
        <v>16</v>
      </c>
      <c r="B25" s="171" t="s">
        <v>104</v>
      </c>
      <c r="C25" s="1576"/>
      <c r="D25" s="1894"/>
      <c r="E25" s="1875"/>
      <c r="F25" s="174">
        <v>60000</v>
      </c>
    </row>
    <row r="26" spans="1:10" ht="15" customHeight="1" thickBot="1">
      <c r="A26" s="169">
        <v>17</v>
      </c>
      <c r="B26" s="160" t="s">
        <v>39</v>
      </c>
      <c r="C26" s="1576"/>
      <c r="D26" s="1895"/>
      <c r="E26" s="1875"/>
      <c r="F26" s="175">
        <v>40000</v>
      </c>
      <c r="G26" s="2"/>
    </row>
    <row r="27" spans="1:10" s="103" customFormat="1" ht="15" customHeight="1" thickBot="1">
      <c r="A27" s="1892" t="s">
        <v>38</v>
      </c>
      <c r="B27" s="1893"/>
      <c r="C27" s="1576"/>
      <c r="D27" s="166">
        <v>85111</v>
      </c>
      <c r="E27" s="1875"/>
      <c r="F27" s="102">
        <f>SUM(F24:F26)</f>
        <v>145000</v>
      </c>
    </row>
    <row r="28" spans="1:10" ht="28.5" customHeight="1">
      <c r="A28" s="140">
        <v>18</v>
      </c>
      <c r="B28" s="159" t="s">
        <v>169</v>
      </c>
      <c r="C28" s="1576"/>
      <c r="D28" s="172">
        <v>85120</v>
      </c>
      <c r="E28" s="1875"/>
      <c r="F28" s="176">
        <v>35000</v>
      </c>
    </row>
    <row r="29" spans="1:10" ht="28.5" customHeight="1" thickBot="1">
      <c r="A29" s="141">
        <v>19</v>
      </c>
      <c r="B29" s="160" t="s">
        <v>37</v>
      </c>
      <c r="C29" s="1577"/>
      <c r="D29" s="173">
        <v>85148</v>
      </c>
      <c r="E29" s="1876"/>
      <c r="F29" s="177">
        <v>1102550</v>
      </c>
    </row>
    <row r="30" spans="1:10" ht="15.75" thickBot="1">
      <c r="A30" s="1883" t="s">
        <v>36</v>
      </c>
      <c r="B30" s="1884"/>
      <c r="C30" s="1884"/>
      <c r="D30" s="1885"/>
      <c r="E30" s="145"/>
      <c r="F30" s="17">
        <f>SUM(F27:F29)</f>
        <v>1282550</v>
      </c>
    </row>
    <row r="31" spans="1:10" ht="13.5" thickBot="1">
      <c r="A31" s="21">
        <v>20</v>
      </c>
      <c r="B31" s="22" t="s">
        <v>35</v>
      </c>
      <c r="C31" s="21">
        <v>853</v>
      </c>
      <c r="D31" s="20">
        <v>85311</v>
      </c>
      <c r="E31" s="19">
        <v>2570</v>
      </c>
      <c r="F31" s="18">
        <v>82223</v>
      </c>
    </row>
    <row r="32" spans="1:10" ht="15.75" thickBot="1">
      <c r="A32" s="1883" t="s">
        <v>26</v>
      </c>
      <c r="B32" s="1884"/>
      <c r="C32" s="1884"/>
      <c r="D32" s="1885"/>
      <c r="E32" s="148"/>
      <c r="F32" s="17">
        <f>SUM(F31:F31)</f>
        <v>82223</v>
      </c>
    </row>
    <row r="33" spans="1:8" ht="22.5" customHeight="1" thickBot="1">
      <c r="A33" s="1877" t="s">
        <v>25</v>
      </c>
      <c r="B33" s="1878"/>
      <c r="C33" s="1878"/>
      <c r="D33" s="1879"/>
      <c r="E33" s="16"/>
      <c r="F33" s="15">
        <f>SUM(F23,F30,F32)</f>
        <v>51562387</v>
      </c>
      <c r="H33" s="2"/>
    </row>
    <row r="34" spans="1:8" ht="10.5" customHeight="1">
      <c r="A34" s="153"/>
      <c r="B34" s="154"/>
      <c r="C34" s="154"/>
      <c r="D34" s="154"/>
      <c r="E34" s="154"/>
      <c r="F34" s="155"/>
    </row>
    <row r="35" spans="1:8" ht="15" thickBot="1">
      <c r="A35" s="1886" t="s">
        <v>23</v>
      </c>
      <c r="B35" s="1887"/>
      <c r="C35" s="1887"/>
      <c r="D35" s="1887"/>
      <c r="E35" s="1887"/>
      <c r="F35" s="1888"/>
    </row>
    <row r="36" spans="1:8" ht="30.75" thickBot="1">
      <c r="A36" s="145" t="s">
        <v>15</v>
      </c>
      <c r="B36" s="139" t="s">
        <v>34</v>
      </c>
      <c r="C36" s="145" t="s">
        <v>0</v>
      </c>
      <c r="D36" s="139" t="s">
        <v>1</v>
      </c>
      <c r="E36" s="145" t="s">
        <v>5</v>
      </c>
      <c r="F36" s="146" t="s">
        <v>33</v>
      </c>
    </row>
    <row r="37" spans="1:8">
      <c r="A37" s="14">
        <v>1</v>
      </c>
      <c r="B37" s="13" t="s">
        <v>32</v>
      </c>
      <c r="C37" s="1889">
        <v>853</v>
      </c>
      <c r="D37" s="1889">
        <v>85311</v>
      </c>
      <c r="E37" s="1868">
        <v>2580</v>
      </c>
      <c r="F37" s="12">
        <v>115112</v>
      </c>
      <c r="H37" s="2"/>
    </row>
    <row r="38" spans="1:8">
      <c r="A38" s="105">
        <v>2</v>
      </c>
      <c r="B38" s="11" t="s">
        <v>31</v>
      </c>
      <c r="C38" s="1890"/>
      <c r="D38" s="1890"/>
      <c r="E38" s="1869"/>
      <c r="F38" s="156">
        <v>113741</v>
      </c>
    </row>
    <row r="39" spans="1:8">
      <c r="A39" s="105">
        <v>3</v>
      </c>
      <c r="B39" s="11" t="s">
        <v>30</v>
      </c>
      <c r="C39" s="1890"/>
      <c r="D39" s="1890"/>
      <c r="E39" s="1869"/>
      <c r="F39" s="156">
        <v>100723</v>
      </c>
    </row>
    <row r="40" spans="1:8">
      <c r="A40" s="105">
        <v>4</v>
      </c>
      <c r="B40" s="11" t="s">
        <v>29</v>
      </c>
      <c r="C40" s="1890"/>
      <c r="D40" s="1890"/>
      <c r="E40" s="1869"/>
      <c r="F40" s="156">
        <v>138408</v>
      </c>
    </row>
    <row r="41" spans="1:8">
      <c r="A41" s="105">
        <v>5</v>
      </c>
      <c r="B41" s="11" t="s">
        <v>28</v>
      </c>
      <c r="C41" s="1890"/>
      <c r="D41" s="1890"/>
      <c r="E41" s="1869"/>
      <c r="F41" s="156">
        <v>65778</v>
      </c>
    </row>
    <row r="42" spans="1:8">
      <c r="A42" s="105">
        <v>6</v>
      </c>
      <c r="B42" s="11" t="s">
        <v>27</v>
      </c>
      <c r="C42" s="1890"/>
      <c r="D42" s="1890"/>
      <c r="E42" s="1869"/>
      <c r="F42" s="156">
        <v>76056</v>
      </c>
    </row>
    <row r="43" spans="1:8">
      <c r="A43" s="157">
        <v>7</v>
      </c>
      <c r="B43" s="95" t="s">
        <v>96</v>
      </c>
      <c r="C43" s="1890"/>
      <c r="D43" s="1890"/>
      <c r="E43" s="1869"/>
      <c r="F43" s="158">
        <v>63723</v>
      </c>
    </row>
    <row r="44" spans="1:8" ht="25.5">
      <c r="A44" s="157">
        <v>8</v>
      </c>
      <c r="B44" s="104" t="s">
        <v>184</v>
      </c>
      <c r="C44" s="1890"/>
      <c r="D44" s="1890"/>
      <c r="E44" s="1869"/>
      <c r="F44" s="158">
        <v>51389</v>
      </c>
    </row>
    <row r="45" spans="1:8" ht="25.5">
      <c r="A45" s="105">
        <v>9</v>
      </c>
      <c r="B45" s="104" t="s">
        <v>185</v>
      </c>
      <c r="C45" s="1890"/>
      <c r="D45" s="1890"/>
      <c r="E45" s="1869"/>
      <c r="F45" s="158">
        <v>69889</v>
      </c>
    </row>
    <row r="46" spans="1:8">
      <c r="A46" s="157">
        <v>10</v>
      </c>
      <c r="B46" s="95" t="s">
        <v>108</v>
      </c>
      <c r="C46" s="1890"/>
      <c r="D46" s="1890"/>
      <c r="E46" s="1869"/>
      <c r="F46" s="158">
        <v>64751</v>
      </c>
    </row>
    <row r="47" spans="1:8">
      <c r="A47" s="157">
        <v>11</v>
      </c>
      <c r="B47" s="95" t="s">
        <v>109</v>
      </c>
      <c r="C47" s="1890"/>
      <c r="D47" s="1890"/>
      <c r="E47" s="1869"/>
      <c r="F47" s="158">
        <v>45223</v>
      </c>
    </row>
    <row r="48" spans="1:8" ht="13.5" thickBot="1">
      <c r="A48" s="10">
        <v>12</v>
      </c>
      <c r="B48" s="95" t="s">
        <v>110</v>
      </c>
      <c r="C48" s="1891"/>
      <c r="D48" s="1891"/>
      <c r="E48" s="1870"/>
      <c r="F48" s="158">
        <v>43167</v>
      </c>
    </row>
    <row r="49" spans="1:9" ht="15.75" thickBot="1">
      <c r="A49" s="1880" t="s">
        <v>26</v>
      </c>
      <c r="B49" s="1881"/>
      <c r="C49" s="1881"/>
      <c r="D49" s="1882"/>
      <c r="E49" s="138"/>
      <c r="F49" s="9">
        <f>SUM(F37:F48)</f>
        <v>947960</v>
      </c>
      <c r="G49" s="2"/>
    </row>
    <row r="50" spans="1:9" ht="20.25" customHeight="1" thickBot="1">
      <c r="A50" s="1877" t="s">
        <v>25</v>
      </c>
      <c r="B50" s="1878"/>
      <c r="C50" s="1878"/>
      <c r="D50" s="1878"/>
      <c r="E50" s="1879"/>
      <c r="F50" s="8">
        <f>SUM(F49)</f>
        <v>947960</v>
      </c>
      <c r="G50" s="2"/>
      <c r="H50" s="2"/>
    </row>
    <row r="52" spans="1:9">
      <c r="F52" s="2"/>
      <c r="G52" s="2"/>
      <c r="H52" s="2"/>
      <c r="I52" s="2"/>
    </row>
    <row r="53" spans="1:9">
      <c r="F53" s="2"/>
      <c r="G53" s="2"/>
      <c r="H53" s="2"/>
      <c r="I53" s="2"/>
    </row>
    <row r="54" spans="1:9">
      <c r="F54" s="2"/>
      <c r="G54" s="2"/>
      <c r="H54" s="2"/>
      <c r="I54" s="2"/>
    </row>
    <row r="55" spans="1:9">
      <c r="F55" s="2"/>
      <c r="G55" s="2"/>
      <c r="H55" s="2"/>
      <c r="I55" s="2"/>
    </row>
    <row r="56" spans="1:9">
      <c r="F56" s="2"/>
      <c r="G56" s="2"/>
      <c r="H56" s="2"/>
      <c r="I56" s="2"/>
    </row>
    <row r="57" spans="1:9">
      <c r="F57" s="2"/>
      <c r="G57" s="2"/>
      <c r="H57" s="2"/>
      <c r="I57" s="2"/>
    </row>
    <row r="58" spans="1:9">
      <c r="F58" s="2"/>
      <c r="G58" s="2"/>
      <c r="H58" s="2"/>
      <c r="I58" s="2"/>
    </row>
    <row r="59" spans="1:9">
      <c r="B59" s="7"/>
      <c r="F59" s="2"/>
      <c r="G59" s="2"/>
      <c r="H59" s="2"/>
      <c r="I59" s="2"/>
    </row>
    <row r="60" spans="1:9">
      <c r="B60" s="7"/>
    </row>
    <row r="61" spans="1:9">
      <c r="B61" s="7"/>
    </row>
  </sheetData>
  <mergeCells count="24">
    <mergeCell ref="E24:E29"/>
    <mergeCell ref="D6:D13"/>
    <mergeCell ref="A50:E50"/>
    <mergeCell ref="A49:D49"/>
    <mergeCell ref="A23:D23"/>
    <mergeCell ref="A32:D32"/>
    <mergeCell ref="A33:D33"/>
    <mergeCell ref="A35:F35"/>
    <mergeCell ref="C37:C48"/>
    <mergeCell ref="D37:D48"/>
    <mergeCell ref="E37:E48"/>
    <mergeCell ref="A27:B27"/>
    <mergeCell ref="A30:D30"/>
    <mergeCell ref="C24:C29"/>
    <mergeCell ref="D24:D26"/>
    <mergeCell ref="A1:B1"/>
    <mergeCell ref="C1:F1"/>
    <mergeCell ref="A2:F2"/>
    <mergeCell ref="A4:F4"/>
    <mergeCell ref="C6:C22"/>
    <mergeCell ref="E6:E22"/>
    <mergeCell ref="A14:B14"/>
    <mergeCell ref="D15:D16"/>
    <mergeCell ref="A17:B17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N56"/>
  <sheetViews>
    <sheetView view="pageBreakPreview" zoomScale="90" zoomScaleNormal="100" zoomScaleSheetLayoutView="90" workbookViewId="0">
      <selection activeCell="K3" sqref="K3"/>
    </sheetView>
  </sheetViews>
  <sheetFormatPr defaultRowHeight="12.75"/>
  <cols>
    <col min="1" max="1" width="6.28515625" style="1" customWidth="1"/>
    <col min="2" max="2" width="33.28515625" style="1" customWidth="1"/>
    <col min="3" max="3" width="9.140625" style="1"/>
    <col min="4" max="4" width="10.28515625" style="1" customWidth="1"/>
    <col min="5" max="8" width="13.7109375" style="1" customWidth="1"/>
    <col min="9" max="9" width="60.140625" style="1" customWidth="1"/>
    <col min="10" max="10" width="20.28515625" style="1" customWidth="1"/>
    <col min="11" max="11" width="16.140625" style="1" customWidth="1"/>
    <col min="12" max="256" width="9.140625" style="1"/>
    <col min="257" max="257" width="6.28515625" style="1" customWidth="1"/>
    <col min="258" max="258" width="34.42578125" style="1" customWidth="1"/>
    <col min="259" max="259" width="9.140625" style="1"/>
    <col min="260" max="260" width="10.28515625" style="1" customWidth="1"/>
    <col min="261" max="262" width="12.7109375" style="1" customWidth="1"/>
    <col min="263" max="263" width="11.85546875" style="1" customWidth="1"/>
    <col min="264" max="264" width="15.140625" style="1" customWidth="1"/>
    <col min="265" max="265" width="49" style="1" customWidth="1"/>
    <col min="266" max="512" width="9.140625" style="1"/>
    <col min="513" max="513" width="6.28515625" style="1" customWidth="1"/>
    <col min="514" max="514" width="34.42578125" style="1" customWidth="1"/>
    <col min="515" max="515" width="9.140625" style="1"/>
    <col min="516" max="516" width="10.28515625" style="1" customWidth="1"/>
    <col min="517" max="518" width="12.7109375" style="1" customWidth="1"/>
    <col min="519" max="519" width="11.85546875" style="1" customWidth="1"/>
    <col min="520" max="520" width="15.140625" style="1" customWidth="1"/>
    <col min="521" max="521" width="49" style="1" customWidth="1"/>
    <col min="522" max="768" width="9.140625" style="1"/>
    <col min="769" max="769" width="6.28515625" style="1" customWidth="1"/>
    <col min="770" max="770" width="34.42578125" style="1" customWidth="1"/>
    <col min="771" max="771" width="9.140625" style="1"/>
    <col min="772" max="772" width="10.28515625" style="1" customWidth="1"/>
    <col min="773" max="774" width="12.7109375" style="1" customWidth="1"/>
    <col min="775" max="775" width="11.85546875" style="1" customWidth="1"/>
    <col min="776" max="776" width="15.140625" style="1" customWidth="1"/>
    <col min="777" max="777" width="49" style="1" customWidth="1"/>
    <col min="778" max="1024" width="9.140625" style="1"/>
    <col min="1025" max="1025" width="6.28515625" style="1" customWidth="1"/>
    <col min="1026" max="1026" width="34.42578125" style="1" customWidth="1"/>
    <col min="1027" max="1027" width="9.140625" style="1"/>
    <col min="1028" max="1028" width="10.28515625" style="1" customWidth="1"/>
    <col min="1029" max="1030" width="12.7109375" style="1" customWidth="1"/>
    <col min="1031" max="1031" width="11.85546875" style="1" customWidth="1"/>
    <col min="1032" max="1032" width="15.140625" style="1" customWidth="1"/>
    <col min="1033" max="1033" width="49" style="1" customWidth="1"/>
    <col min="1034" max="1280" width="9.140625" style="1"/>
    <col min="1281" max="1281" width="6.28515625" style="1" customWidth="1"/>
    <col min="1282" max="1282" width="34.42578125" style="1" customWidth="1"/>
    <col min="1283" max="1283" width="9.140625" style="1"/>
    <col min="1284" max="1284" width="10.28515625" style="1" customWidth="1"/>
    <col min="1285" max="1286" width="12.7109375" style="1" customWidth="1"/>
    <col min="1287" max="1287" width="11.85546875" style="1" customWidth="1"/>
    <col min="1288" max="1288" width="15.140625" style="1" customWidth="1"/>
    <col min="1289" max="1289" width="49" style="1" customWidth="1"/>
    <col min="1290" max="1536" width="9.140625" style="1"/>
    <col min="1537" max="1537" width="6.28515625" style="1" customWidth="1"/>
    <col min="1538" max="1538" width="34.42578125" style="1" customWidth="1"/>
    <col min="1539" max="1539" width="9.140625" style="1"/>
    <col min="1540" max="1540" width="10.28515625" style="1" customWidth="1"/>
    <col min="1541" max="1542" width="12.7109375" style="1" customWidth="1"/>
    <col min="1543" max="1543" width="11.85546875" style="1" customWidth="1"/>
    <col min="1544" max="1544" width="15.140625" style="1" customWidth="1"/>
    <col min="1545" max="1545" width="49" style="1" customWidth="1"/>
    <col min="1546" max="1792" width="9.140625" style="1"/>
    <col min="1793" max="1793" width="6.28515625" style="1" customWidth="1"/>
    <col min="1794" max="1794" width="34.42578125" style="1" customWidth="1"/>
    <col min="1795" max="1795" width="9.140625" style="1"/>
    <col min="1796" max="1796" width="10.28515625" style="1" customWidth="1"/>
    <col min="1797" max="1798" width="12.7109375" style="1" customWidth="1"/>
    <col min="1799" max="1799" width="11.85546875" style="1" customWidth="1"/>
    <col min="1800" max="1800" width="15.140625" style="1" customWidth="1"/>
    <col min="1801" max="1801" width="49" style="1" customWidth="1"/>
    <col min="1802" max="2048" width="9.140625" style="1"/>
    <col min="2049" max="2049" width="6.28515625" style="1" customWidth="1"/>
    <col min="2050" max="2050" width="34.42578125" style="1" customWidth="1"/>
    <col min="2051" max="2051" width="9.140625" style="1"/>
    <col min="2052" max="2052" width="10.28515625" style="1" customWidth="1"/>
    <col min="2053" max="2054" width="12.7109375" style="1" customWidth="1"/>
    <col min="2055" max="2055" width="11.85546875" style="1" customWidth="1"/>
    <col min="2056" max="2056" width="15.140625" style="1" customWidth="1"/>
    <col min="2057" max="2057" width="49" style="1" customWidth="1"/>
    <col min="2058" max="2304" width="9.140625" style="1"/>
    <col min="2305" max="2305" width="6.28515625" style="1" customWidth="1"/>
    <col min="2306" max="2306" width="34.42578125" style="1" customWidth="1"/>
    <col min="2307" max="2307" width="9.140625" style="1"/>
    <col min="2308" max="2308" width="10.28515625" style="1" customWidth="1"/>
    <col min="2309" max="2310" width="12.7109375" style="1" customWidth="1"/>
    <col min="2311" max="2311" width="11.85546875" style="1" customWidth="1"/>
    <col min="2312" max="2312" width="15.140625" style="1" customWidth="1"/>
    <col min="2313" max="2313" width="49" style="1" customWidth="1"/>
    <col min="2314" max="2560" width="9.140625" style="1"/>
    <col min="2561" max="2561" width="6.28515625" style="1" customWidth="1"/>
    <col min="2562" max="2562" width="34.42578125" style="1" customWidth="1"/>
    <col min="2563" max="2563" width="9.140625" style="1"/>
    <col min="2564" max="2564" width="10.28515625" style="1" customWidth="1"/>
    <col min="2565" max="2566" width="12.7109375" style="1" customWidth="1"/>
    <col min="2567" max="2567" width="11.85546875" style="1" customWidth="1"/>
    <col min="2568" max="2568" width="15.140625" style="1" customWidth="1"/>
    <col min="2569" max="2569" width="49" style="1" customWidth="1"/>
    <col min="2570" max="2816" width="9.140625" style="1"/>
    <col min="2817" max="2817" width="6.28515625" style="1" customWidth="1"/>
    <col min="2818" max="2818" width="34.42578125" style="1" customWidth="1"/>
    <col min="2819" max="2819" width="9.140625" style="1"/>
    <col min="2820" max="2820" width="10.28515625" style="1" customWidth="1"/>
    <col min="2821" max="2822" width="12.7109375" style="1" customWidth="1"/>
    <col min="2823" max="2823" width="11.85546875" style="1" customWidth="1"/>
    <col min="2824" max="2824" width="15.140625" style="1" customWidth="1"/>
    <col min="2825" max="2825" width="49" style="1" customWidth="1"/>
    <col min="2826" max="3072" width="9.140625" style="1"/>
    <col min="3073" max="3073" width="6.28515625" style="1" customWidth="1"/>
    <col min="3074" max="3074" width="34.42578125" style="1" customWidth="1"/>
    <col min="3075" max="3075" width="9.140625" style="1"/>
    <col min="3076" max="3076" width="10.28515625" style="1" customWidth="1"/>
    <col min="3077" max="3078" width="12.7109375" style="1" customWidth="1"/>
    <col min="3079" max="3079" width="11.85546875" style="1" customWidth="1"/>
    <col min="3080" max="3080" width="15.140625" style="1" customWidth="1"/>
    <col min="3081" max="3081" width="49" style="1" customWidth="1"/>
    <col min="3082" max="3328" width="9.140625" style="1"/>
    <col min="3329" max="3329" width="6.28515625" style="1" customWidth="1"/>
    <col min="3330" max="3330" width="34.42578125" style="1" customWidth="1"/>
    <col min="3331" max="3331" width="9.140625" style="1"/>
    <col min="3332" max="3332" width="10.28515625" style="1" customWidth="1"/>
    <col min="3333" max="3334" width="12.7109375" style="1" customWidth="1"/>
    <col min="3335" max="3335" width="11.85546875" style="1" customWidth="1"/>
    <col min="3336" max="3336" width="15.140625" style="1" customWidth="1"/>
    <col min="3337" max="3337" width="49" style="1" customWidth="1"/>
    <col min="3338" max="3584" width="9.140625" style="1"/>
    <col min="3585" max="3585" width="6.28515625" style="1" customWidth="1"/>
    <col min="3586" max="3586" width="34.42578125" style="1" customWidth="1"/>
    <col min="3587" max="3587" width="9.140625" style="1"/>
    <col min="3588" max="3588" width="10.28515625" style="1" customWidth="1"/>
    <col min="3589" max="3590" width="12.7109375" style="1" customWidth="1"/>
    <col min="3591" max="3591" width="11.85546875" style="1" customWidth="1"/>
    <col min="3592" max="3592" width="15.140625" style="1" customWidth="1"/>
    <col min="3593" max="3593" width="49" style="1" customWidth="1"/>
    <col min="3594" max="3840" width="9.140625" style="1"/>
    <col min="3841" max="3841" width="6.28515625" style="1" customWidth="1"/>
    <col min="3842" max="3842" width="34.42578125" style="1" customWidth="1"/>
    <col min="3843" max="3843" width="9.140625" style="1"/>
    <col min="3844" max="3844" width="10.28515625" style="1" customWidth="1"/>
    <col min="3845" max="3846" width="12.7109375" style="1" customWidth="1"/>
    <col min="3847" max="3847" width="11.85546875" style="1" customWidth="1"/>
    <col min="3848" max="3848" width="15.140625" style="1" customWidth="1"/>
    <col min="3849" max="3849" width="49" style="1" customWidth="1"/>
    <col min="3850" max="4096" width="9.140625" style="1"/>
    <col min="4097" max="4097" width="6.28515625" style="1" customWidth="1"/>
    <col min="4098" max="4098" width="34.42578125" style="1" customWidth="1"/>
    <col min="4099" max="4099" width="9.140625" style="1"/>
    <col min="4100" max="4100" width="10.28515625" style="1" customWidth="1"/>
    <col min="4101" max="4102" width="12.7109375" style="1" customWidth="1"/>
    <col min="4103" max="4103" width="11.85546875" style="1" customWidth="1"/>
    <col min="4104" max="4104" width="15.140625" style="1" customWidth="1"/>
    <col min="4105" max="4105" width="49" style="1" customWidth="1"/>
    <col min="4106" max="4352" width="9.140625" style="1"/>
    <col min="4353" max="4353" width="6.28515625" style="1" customWidth="1"/>
    <col min="4354" max="4354" width="34.42578125" style="1" customWidth="1"/>
    <col min="4355" max="4355" width="9.140625" style="1"/>
    <col min="4356" max="4356" width="10.28515625" style="1" customWidth="1"/>
    <col min="4357" max="4358" width="12.7109375" style="1" customWidth="1"/>
    <col min="4359" max="4359" width="11.85546875" style="1" customWidth="1"/>
    <col min="4360" max="4360" width="15.140625" style="1" customWidth="1"/>
    <col min="4361" max="4361" width="49" style="1" customWidth="1"/>
    <col min="4362" max="4608" width="9.140625" style="1"/>
    <col min="4609" max="4609" width="6.28515625" style="1" customWidth="1"/>
    <col min="4610" max="4610" width="34.42578125" style="1" customWidth="1"/>
    <col min="4611" max="4611" width="9.140625" style="1"/>
    <col min="4612" max="4612" width="10.28515625" style="1" customWidth="1"/>
    <col min="4613" max="4614" width="12.7109375" style="1" customWidth="1"/>
    <col min="4615" max="4615" width="11.85546875" style="1" customWidth="1"/>
    <col min="4616" max="4616" width="15.140625" style="1" customWidth="1"/>
    <col min="4617" max="4617" width="49" style="1" customWidth="1"/>
    <col min="4618" max="4864" width="9.140625" style="1"/>
    <col min="4865" max="4865" width="6.28515625" style="1" customWidth="1"/>
    <col min="4866" max="4866" width="34.42578125" style="1" customWidth="1"/>
    <col min="4867" max="4867" width="9.140625" style="1"/>
    <col min="4868" max="4868" width="10.28515625" style="1" customWidth="1"/>
    <col min="4869" max="4870" width="12.7109375" style="1" customWidth="1"/>
    <col min="4871" max="4871" width="11.85546875" style="1" customWidth="1"/>
    <col min="4872" max="4872" width="15.140625" style="1" customWidth="1"/>
    <col min="4873" max="4873" width="49" style="1" customWidth="1"/>
    <col min="4874" max="5120" width="9.140625" style="1"/>
    <col min="5121" max="5121" width="6.28515625" style="1" customWidth="1"/>
    <col min="5122" max="5122" width="34.42578125" style="1" customWidth="1"/>
    <col min="5123" max="5123" width="9.140625" style="1"/>
    <col min="5124" max="5124" width="10.28515625" style="1" customWidth="1"/>
    <col min="5125" max="5126" width="12.7109375" style="1" customWidth="1"/>
    <col min="5127" max="5127" width="11.85546875" style="1" customWidth="1"/>
    <col min="5128" max="5128" width="15.140625" style="1" customWidth="1"/>
    <col min="5129" max="5129" width="49" style="1" customWidth="1"/>
    <col min="5130" max="5376" width="9.140625" style="1"/>
    <col min="5377" max="5377" width="6.28515625" style="1" customWidth="1"/>
    <col min="5378" max="5378" width="34.42578125" style="1" customWidth="1"/>
    <col min="5379" max="5379" width="9.140625" style="1"/>
    <col min="5380" max="5380" width="10.28515625" style="1" customWidth="1"/>
    <col min="5381" max="5382" width="12.7109375" style="1" customWidth="1"/>
    <col min="5383" max="5383" width="11.85546875" style="1" customWidth="1"/>
    <col min="5384" max="5384" width="15.140625" style="1" customWidth="1"/>
    <col min="5385" max="5385" width="49" style="1" customWidth="1"/>
    <col min="5386" max="5632" width="9.140625" style="1"/>
    <col min="5633" max="5633" width="6.28515625" style="1" customWidth="1"/>
    <col min="5634" max="5634" width="34.42578125" style="1" customWidth="1"/>
    <col min="5635" max="5635" width="9.140625" style="1"/>
    <col min="5636" max="5636" width="10.28515625" style="1" customWidth="1"/>
    <col min="5637" max="5638" width="12.7109375" style="1" customWidth="1"/>
    <col min="5639" max="5639" width="11.85546875" style="1" customWidth="1"/>
    <col min="5640" max="5640" width="15.140625" style="1" customWidth="1"/>
    <col min="5641" max="5641" width="49" style="1" customWidth="1"/>
    <col min="5642" max="5888" width="9.140625" style="1"/>
    <col min="5889" max="5889" width="6.28515625" style="1" customWidth="1"/>
    <col min="5890" max="5890" width="34.42578125" style="1" customWidth="1"/>
    <col min="5891" max="5891" width="9.140625" style="1"/>
    <col min="5892" max="5892" width="10.28515625" style="1" customWidth="1"/>
    <col min="5893" max="5894" width="12.7109375" style="1" customWidth="1"/>
    <col min="5895" max="5895" width="11.85546875" style="1" customWidth="1"/>
    <col min="5896" max="5896" width="15.140625" style="1" customWidth="1"/>
    <col min="5897" max="5897" width="49" style="1" customWidth="1"/>
    <col min="5898" max="6144" width="9.140625" style="1"/>
    <col min="6145" max="6145" width="6.28515625" style="1" customWidth="1"/>
    <col min="6146" max="6146" width="34.42578125" style="1" customWidth="1"/>
    <col min="6147" max="6147" width="9.140625" style="1"/>
    <col min="6148" max="6148" width="10.28515625" style="1" customWidth="1"/>
    <col min="6149" max="6150" width="12.7109375" style="1" customWidth="1"/>
    <col min="6151" max="6151" width="11.85546875" style="1" customWidth="1"/>
    <col min="6152" max="6152" width="15.140625" style="1" customWidth="1"/>
    <col min="6153" max="6153" width="49" style="1" customWidth="1"/>
    <col min="6154" max="6400" width="9.140625" style="1"/>
    <col min="6401" max="6401" width="6.28515625" style="1" customWidth="1"/>
    <col min="6402" max="6402" width="34.42578125" style="1" customWidth="1"/>
    <col min="6403" max="6403" width="9.140625" style="1"/>
    <col min="6404" max="6404" width="10.28515625" style="1" customWidth="1"/>
    <col min="6405" max="6406" width="12.7109375" style="1" customWidth="1"/>
    <col min="6407" max="6407" width="11.85546875" style="1" customWidth="1"/>
    <col min="6408" max="6408" width="15.140625" style="1" customWidth="1"/>
    <col min="6409" max="6409" width="49" style="1" customWidth="1"/>
    <col min="6410" max="6656" width="9.140625" style="1"/>
    <col min="6657" max="6657" width="6.28515625" style="1" customWidth="1"/>
    <col min="6658" max="6658" width="34.42578125" style="1" customWidth="1"/>
    <col min="6659" max="6659" width="9.140625" style="1"/>
    <col min="6660" max="6660" width="10.28515625" style="1" customWidth="1"/>
    <col min="6661" max="6662" width="12.7109375" style="1" customWidth="1"/>
    <col min="6663" max="6663" width="11.85546875" style="1" customWidth="1"/>
    <col min="6664" max="6664" width="15.140625" style="1" customWidth="1"/>
    <col min="6665" max="6665" width="49" style="1" customWidth="1"/>
    <col min="6666" max="6912" width="9.140625" style="1"/>
    <col min="6913" max="6913" width="6.28515625" style="1" customWidth="1"/>
    <col min="6914" max="6914" width="34.42578125" style="1" customWidth="1"/>
    <col min="6915" max="6915" width="9.140625" style="1"/>
    <col min="6916" max="6916" width="10.28515625" style="1" customWidth="1"/>
    <col min="6917" max="6918" width="12.7109375" style="1" customWidth="1"/>
    <col min="6919" max="6919" width="11.85546875" style="1" customWidth="1"/>
    <col min="6920" max="6920" width="15.140625" style="1" customWidth="1"/>
    <col min="6921" max="6921" width="49" style="1" customWidth="1"/>
    <col min="6922" max="7168" width="9.140625" style="1"/>
    <col min="7169" max="7169" width="6.28515625" style="1" customWidth="1"/>
    <col min="7170" max="7170" width="34.42578125" style="1" customWidth="1"/>
    <col min="7171" max="7171" width="9.140625" style="1"/>
    <col min="7172" max="7172" width="10.28515625" style="1" customWidth="1"/>
    <col min="7173" max="7174" width="12.7109375" style="1" customWidth="1"/>
    <col min="7175" max="7175" width="11.85546875" style="1" customWidth="1"/>
    <col min="7176" max="7176" width="15.140625" style="1" customWidth="1"/>
    <col min="7177" max="7177" width="49" style="1" customWidth="1"/>
    <col min="7178" max="7424" width="9.140625" style="1"/>
    <col min="7425" max="7425" width="6.28515625" style="1" customWidth="1"/>
    <col min="7426" max="7426" width="34.42578125" style="1" customWidth="1"/>
    <col min="7427" max="7427" width="9.140625" style="1"/>
    <col min="7428" max="7428" width="10.28515625" style="1" customWidth="1"/>
    <col min="7429" max="7430" width="12.7109375" style="1" customWidth="1"/>
    <col min="7431" max="7431" width="11.85546875" style="1" customWidth="1"/>
    <col min="7432" max="7432" width="15.140625" style="1" customWidth="1"/>
    <col min="7433" max="7433" width="49" style="1" customWidth="1"/>
    <col min="7434" max="7680" width="9.140625" style="1"/>
    <col min="7681" max="7681" width="6.28515625" style="1" customWidth="1"/>
    <col min="7682" max="7682" width="34.42578125" style="1" customWidth="1"/>
    <col min="7683" max="7683" width="9.140625" style="1"/>
    <col min="7684" max="7684" width="10.28515625" style="1" customWidth="1"/>
    <col min="7685" max="7686" width="12.7109375" style="1" customWidth="1"/>
    <col min="7687" max="7687" width="11.85546875" style="1" customWidth="1"/>
    <col min="7688" max="7688" width="15.140625" style="1" customWidth="1"/>
    <col min="7689" max="7689" width="49" style="1" customWidth="1"/>
    <col min="7690" max="7936" width="9.140625" style="1"/>
    <col min="7937" max="7937" width="6.28515625" style="1" customWidth="1"/>
    <col min="7938" max="7938" width="34.42578125" style="1" customWidth="1"/>
    <col min="7939" max="7939" width="9.140625" style="1"/>
    <col min="7940" max="7940" width="10.28515625" style="1" customWidth="1"/>
    <col min="7941" max="7942" width="12.7109375" style="1" customWidth="1"/>
    <col min="7943" max="7943" width="11.85546875" style="1" customWidth="1"/>
    <col min="7944" max="7944" width="15.140625" style="1" customWidth="1"/>
    <col min="7945" max="7945" width="49" style="1" customWidth="1"/>
    <col min="7946" max="8192" width="9.140625" style="1"/>
    <col min="8193" max="8193" width="6.28515625" style="1" customWidth="1"/>
    <col min="8194" max="8194" width="34.42578125" style="1" customWidth="1"/>
    <col min="8195" max="8195" width="9.140625" style="1"/>
    <col min="8196" max="8196" width="10.28515625" style="1" customWidth="1"/>
    <col min="8197" max="8198" width="12.7109375" style="1" customWidth="1"/>
    <col min="8199" max="8199" width="11.85546875" style="1" customWidth="1"/>
    <col min="8200" max="8200" width="15.140625" style="1" customWidth="1"/>
    <col min="8201" max="8201" width="49" style="1" customWidth="1"/>
    <col min="8202" max="8448" width="9.140625" style="1"/>
    <col min="8449" max="8449" width="6.28515625" style="1" customWidth="1"/>
    <col min="8450" max="8450" width="34.42578125" style="1" customWidth="1"/>
    <col min="8451" max="8451" width="9.140625" style="1"/>
    <col min="8452" max="8452" width="10.28515625" style="1" customWidth="1"/>
    <col min="8453" max="8454" width="12.7109375" style="1" customWidth="1"/>
    <col min="8455" max="8455" width="11.85546875" style="1" customWidth="1"/>
    <col min="8456" max="8456" width="15.140625" style="1" customWidth="1"/>
    <col min="8457" max="8457" width="49" style="1" customWidth="1"/>
    <col min="8458" max="8704" width="9.140625" style="1"/>
    <col min="8705" max="8705" width="6.28515625" style="1" customWidth="1"/>
    <col min="8706" max="8706" width="34.42578125" style="1" customWidth="1"/>
    <col min="8707" max="8707" width="9.140625" style="1"/>
    <col min="8708" max="8708" width="10.28515625" style="1" customWidth="1"/>
    <col min="8709" max="8710" width="12.7109375" style="1" customWidth="1"/>
    <col min="8711" max="8711" width="11.85546875" style="1" customWidth="1"/>
    <col min="8712" max="8712" width="15.140625" style="1" customWidth="1"/>
    <col min="8713" max="8713" width="49" style="1" customWidth="1"/>
    <col min="8714" max="8960" width="9.140625" style="1"/>
    <col min="8961" max="8961" width="6.28515625" style="1" customWidth="1"/>
    <col min="8962" max="8962" width="34.42578125" style="1" customWidth="1"/>
    <col min="8963" max="8963" width="9.140625" style="1"/>
    <col min="8964" max="8964" width="10.28515625" style="1" customWidth="1"/>
    <col min="8965" max="8966" width="12.7109375" style="1" customWidth="1"/>
    <col min="8967" max="8967" width="11.85546875" style="1" customWidth="1"/>
    <col min="8968" max="8968" width="15.140625" style="1" customWidth="1"/>
    <col min="8969" max="8969" width="49" style="1" customWidth="1"/>
    <col min="8970" max="9216" width="9.140625" style="1"/>
    <col min="9217" max="9217" width="6.28515625" style="1" customWidth="1"/>
    <col min="9218" max="9218" width="34.42578125" style="1" customWidth="1"/>
    <col min="9219" max="9219" width="9.140625" style="1"/>
    <col min="9220" max="9220" width="10.28515625" style="1" customWidth="1"/>
    <col min="9221" max="9222" width="12.7109375" style="1" customWidth="1"/>
    <col min="9223" max="9223" width="11.85546875" style="1" customWidth="1"/>
    <col min="9224" max="9224" width="15.140625" style="1" customWidth="1"/>
    <col min="9225" max="9225" width="49" style="1" customWidth="1"/>
    <col min="9226" max="9472" width="9.140625" style="1"/>
    <col min="9473" max="9473" width="6.28515625" style="1" customWidth="1"/>
    <col min="9474" max="9474" width="34.42578125" style="1" customWidth="1"/>
    <col min="9475" max="9475" width="9.140625" style="1"/>
    <col min="9476" max="9476" width="10.28515625" style="1" customWidth="1"/>
    <col min="9477" max="9478" width="12.7109375" style="1" customWidth="1"/>
    <col min="9479" max="9479" width="11.85546875" style="1" customWidth="1"/>
    <col min="9480" max="9480" width="15.140625" style="1" customWidth="1"/>
    <col min="9481" max="9481" width="49" style="1" customWidth="1"/>
    <col min="9482" max="9728" width="9.140625" style="1"/>
    <col min="9729" max="9729" width="6.28515625" style="1" customWidth="1"/>
    <col min="9730" max="9730" width="34.42578125" style="1" customWidth="1"/>
    <col min="9731" max="9731" width="9.140625" style="1"/>
    <col min="9732" max="9732" width="10.28515625" style="1" customWidth="1"/>
    <col min="9733" max="9734" width="12.7109375" style="1" customWidth="1"/>
    <col min="9735" max="9735" width="11.85546875" style="1" customWidth="1"/>
    <col min="9736" max="9736" width="15.140625" style="1" customWidth="1"/>
    <col min="9737" max="9737" width="49" style="1" customWidth="1"/>
    <col min="9738" max="9984" width="9.140625" style="1"/>
    <col min="9985" max="9985" width="6.28515625" style="1" customWidth="1"/>
    <col min="9986" max="9986" width="34.42578125" style="1" customWidth="1"/>
    <col min="9987" max="9987" width="9.140625" style="1"/>
    <col min="9988" max="9988" width="10.28515625" style="1" customWidth="1"/>
    <col min="9989" max="9990" width="12.7109375" style="1" customWidth="1"/>
    <col min="9991" max="9991" width="11.85546875" style="1" customWidth="1"/>
    <col min="9992" max="9992" width="15.140625" style="1" customWidth="1"/>
    <col min="9993" max="9993" width="49" style="1" customWidth="1"/>
    <col min="9994" max="10240" width="9.140625" style="1"/>
    <col min="10241" max="10241" width="6.28515625" style="1" customWidth="1"/>
    <col min="10242" max="10242" width="34.42578125" style="1" customWidth="1"/>
    <col min="10243" max="10243" width="9.140625" style="1"/>
    <col min="10244" max="10244" width="10.28515625" style="1" customWidth="1"/>
    <col min="10245" max="10246" width="12.7109375" style="1" customWidth="1"/>
    <col min="10247" max="10247" width="11.85546875" style="1" customWidth="1"/>
    <col min="10248" max="10248" width="15.140625" style="1" customWidth="1"/>
    <col min="10249" max="10249" width="49" style="1" customWidth="1"/>
    <col min="10250" max="10496" width="9.140625" style="1"/>
    <col min="10497" max="10497" width="6.28515625" style="1" customWidth="1"/>
    <col min="10498" max="10498" width="34.42578125" style="1" customWidth="1"/>
    <col min="10499" max="10499" width="9.140625" style="1"/>
    <col min="10500" max="10500" width="10.28515625" style="1" customWidth="1"/>
    <col min="10501" max="10502" width="12.7109375" style="1" customWidth="1"/>
    <col min="10503" max="10503" width="11.85546875" style="1" customWidth="1"/>
    <col min="10504" max="10504" width="15.140625" style="1" customWidth="1"/>
    <col min="10505" max="10505" width="49" style="1" customWidth="1"/>
    <col min="10506" max="10752" width="9.140625" style="1"/>
    <col min="10753" max="10753" width="6.28515625" style="1" customWidth="1"/>
    <col min="10754" max="10754" width="34.42578125" style="1" customWidth="1"/>
    <col min="10755" max="10755" width="9.140625" style="1"/>
    <col min="10756" max="10756" width="10.28515625" style="1" customWidth="1"/>
    <col min="10757" max="10758" width="12.7109375" style="1" customWidth="1"/>
    <col min="10759" max="10759" width="11.85546875" style="1" customWidth="1"/>
    <col min="10760" max="10760" width="15.140625" style="1" customWidth="1"/>
    <col min="10761" max="10761" width="49" style="1" customWidth="1"/>
    <col min="10762" max="11008" width="9.140625" style="1"/>
    <col min="11009" max="11009" width="6.28515625" style="1" customWidth="1"/>
    <col min="11010" max="11010" width="34.42578125" style="1" customWidth="1"/>
    <col min="11011" max="11011" width="9.140625" style="1"/>
    <col min="11012" max="11012" width="10.28515625" style="1" customWidth="1"/>
    <col min="11013" max="11014" width="12.7109375" style="1" customWidth="1"/>
    <col min="11015" max="11015" width="11.85546875" style="1" customWidth="1"/>
    <col min="11016" max="11016" width="15.140625" style="1" customWidth="1"/>
    <col min="11017" max="11017" width="49" style="1" customWidth="1"/>
    <col min="11018" max="11264" width="9.140625" style="1"/>
    <col min="11265" max="11265" width="6.28515625" style="1" customWidth="1"/>
    <col min="11266" max="11266" width="34.42578125" style="1" customWidth="1"/>
    <col min="11267" max="11267" width="9.140625" style="1"/>
    <col min="11268" max="11268" width="10.28515625" style="1" customWidth="1"/>
    <col min="11269" max="11270" width="12.7109375" style="1" customWidth="1"/>
    <col min="11271" max="11271" width="11.85546875" style="1" customWidth="1"/>
    <col min="11272" max="11272" width="15.140625" style="1" customWidth="1"/>
    <col min="11273" max="11273" width="49" style="1" customWidth="1"/>
    <col min="11274" max="11520" width="9.140625" style="1"/>
    <col min="11521" max="11521" width="6.28515625" style="1" customWidth="1"/>
    <col min="11522" max="11522" width="34.42578125" style="1" customWidth="1"/>
    <col min="11523" max="11523" width="9.140625" style="1"/>
    <col min="11524" max="11524" width="10.28515625" style="1" customWidth="1"/>
    <col min="11525" max="11526" width="12.7109375" style="1" customWidth="1"/>
    <col min="11527" max="11527" width="11.85546875" style="1" customWidth="1"/>
    <col min="11528" max="11528" width="15.140625" style="1" customWidth="1"/>
    <col min="11529" max="11529" width="49" style="1" customWidth="1"/>
    <col min="11530" max="11776" width="9.140625" style="1"/>
    <col min="11777" max="11777" width="6.28515625" style="1" customWidth="1"/>
    <col min="11778" max="11778" width="34.42578125" style="1" customWidth="1"/>
    <col min="11779" max="11779" width="9.140625" style="1"/>
    <col min="11780" max="11780" width="10.28515625" style="1" customWidth="1"/>
    <col min="11781" max="11782" width="12.7109375" style="1" customWidth="1"/>
    <col min="11783" max="11783" width="11.85546875" style="1" customWidth="1"/>
    <col min="11784" max="11784" width="15.140625" style="1" customWidth="1"/>
    <col min="11785" max="11785" width="49" style="1" customWidth="1"/>
    <col min="11786" max="12032" width="9.140625" style="1"/>
    <col min="12033" max="12033" width="6.28515625" style="1" customWidth="1"/>
    <col min="12034" max="12034" width="34.42578125" style="1" customWidth="1"/>
    <col min="12035" max="12035" width="9.140625" style="1"/>
    <col min="12036" max="12036" width="10.28515625" style="1" customWidth="1"/>
    <col min="12037" max="12038" width="12.7109375" style="1" customWidth="1"/>
    <col min="12039" max="12039" width="11.85546875" style="1" customWidth="1"/>
    <col min="12040" max="12040" width="15.140625" style="1" customWidth="1"/>
    <col min="12041" max="12041" width="49" style="1" customWidth="1"/>
    <col min="12042" max="12288" width="9.140625" style="1"/>
    <col min="12289" max="12289" width="6.28515625" style="1" customWidth="1"/>
    <col min="12290" max="12290" width="34.42578125" style="1" customWidth="1"/>
    <col min="12291" max="12291" width="9.140625" style="1"/>
    <col min="12292" max="12292" width="10.28515625" style="1" customWidth="1"/>
    <col min="12293" max="12294" width="12.7109375" style="1" customWidth="1"/>
    <col min="12295" max="12295" width="11.85546875" style="1" customWidth="1"/>
    <col min="12296" max="12296" width="15.140625" style="1" customWidth="1"/>
    <col min="12297" max="12297" width="49" style="1" customWidth="1"/>
    <col min="12298" max="12544" width="9.140625" style="1"/>
    <col min="12545" max="12545" width="6.28515625" style="1" customWidth="1"/>
    <col min="12546" max="12546" width="34.42578125" style="1" customWidth="1"/>
    <col min="12547" max="12547" width="9.140625" style="1"/>
    <col min="12548" max="12548" width="10.28515625" style="1" customWidth="1"/>
    <col min="12549" max="12550" width="12.7109375" style="1" customWidth="1"/>
    <col min="12551" max="12551" width="11.85546875" style="1" customWidth="1"/>
    <col min="12552" max="12552" width="15.140625" style="1" customWidth="1"/>
    <col min="12553" max="12553" width="49" style="1" customWidth="1"/>
    <col min="12554" max="12800" width="9.140625" style="1"/>
    <col min="12801" max="12801" width="6.28515625" style="1" customWidth="1"/>
    <col min="12802" max="12802" width="34.42578125" style="1" customWidth="1"/>
    <col min="12803" max="12803" width="9.140625" style="1"/>
    <col min="12804" max="12804" width="10.28515625" style="1" customWidth="1"/>
    <col min="12805" max="12806" width="12.7109375" style="1" customWidth="1"/>
    <col min="12807" max="12807" width="11.85546875" style="1" customWidth="1"/>
    <col min="12808" max="12808" width="15.140625" style="1" customWidth="1"/>
    <col min="12809" max="12809" width="49" style="1" customWidth="1"/>
    <col min="12810" max="13056" width="9.140625" style="1"/>
    <col min="13057" max="13057" width="6.28515625" style="1" customWidth="1"/>
    <col min="13058" max="13058" width="34.42578125" style="1" customWidth="1"/>
    <col min="13059" max="13059" width="9.140625" style="1"/>
    <col min="13060" max="13060" width="10.28515625" style="1" customWidth="1"/>
    <col min="13061" max="13062" width="12.7109375" style="1" customWidth="1"/>
    <col min="13063" max="13063" width="11.85546875" style="1" customWidth="1"/>
    <col min="13064" max="13064" width="15.140625" style="1" customWidth="1"/>
    <col min="13065" max="13065" width="49" style="1" customWidth="1"/>
    <col min="13066" max="13312" width="9.140625" style="1"/>
    <col min="13313" max="13313" width="6.28515625" style="1" customWidth="1"/>
    <col min="13314" max="13314" width="34.42578125" style="1" customWidth="1"/>
    <col min="13315" max="13315" width="9.140625" style="1"/>
    <col min="13316" max="13316" width="10.28515625" style="1" customWidth="1"/>
    <col min="13317" max="13318" width="12.7109375" style="1" customWidth="1"/>
    <col min="13319" max="13319" width="11.85546875" style="1" customWidth="1"/>
    <col min="13320" max="13320" width="15.140625" style="1" customWidth="1"/>
    <col min="13321" max="13321" width="49" style="1" customWidth="1"/>
    <col min="13322" max="13568" width="9.140625" style="1"/>
    <col min="13569" max="13569" width="6.28515625" style="1" customWidth="1"/>
    <col min="13570" max="13570" width="34.42578125" style="1" customWidth="1"/>
    <col min="13571" max="13571" width="9.140625" style="1"/>
    <col min="13572" max="13572" width="10.28515625" style="1" customWidth="1"/>
    <col min="13573" max="13574" width="12.7109375" style="1" customWidth="1"/>
    <col min="13575" max="13575" width="11.85546875" style="1" customWidth="1"/>
    <col min="13576" max="13576" width="15.140625" style="1" customWidth="1"/>
    <col min="13577" max="13577" width="49" style="1" customWidth="1"/>
    <col min="13578" max="13824" width="9.140625" style="1"/>
    <col min="13825" max="13825" width="6.28515625" style="1" customWidth="1"/>
    <col min="13826" max="13826" width="34.42578125" style="1" customWidth="1"/>
    <col min="13827" max="13827" width="9.140625" style="1"/>
    <col min="13828" max="13828" width="10.28515625" style="1" customWidth="1"/>
    <col min="13829" max="13830" width="12.7109375" style="1" customWidth="1"/>
    <col min="13831" max="13831" width="11.85546875" style="1" customWidth="1"/>
    <col min="13832" max="13832" width="15.140625" style="1" customWidth="1"/>
    <col min="13833" max="13833" width="49" style="1" customWidth="1"/>
    <col min="13834" max="14080" width="9.140625" style="1"/>
    <col min="14081" max="14081" width="6.28515625" style="1" customWidth="1"/>
    <col min="14082" max="14082" width="34.42578125" style="1" customWidth="1"/>
    <col min="14083" max="14083" width="9.140625" style="1"/>
    <col min="14084" max="14084" width="10.28515625" style="1" customWidth="1"/>
    <col min="14085" max="14086" width="12.7109375" style="1" customWidth="1"/>
    <col min="14087" max="14087" width="11.85546875" style="1" customWidth="1"/>
    <col min="14088" max="14088" width="15.140625" style="1" customWidth="1"/>
    <col min="14089" max="14089" width="49" style="1" customWidth="1"/>
    <col min="14090" max="14336" width="9.140625" style="1"/>
    <col min="14337" max="14337" width="6.28515625" style="1" customWidth="1"/>
    <col min="14338" max="14338" width="34.42578125" style="1" customWidth="1"/>
    <col min="14339" max="14339" width="9.140625" style="1"/>
    <col min="14340" max="14340" width="10.28515625" style="1" customWidth="1"/>
    <col min="14341" max="14342" width="12.7109375" style="1" customWidth="1"/>
    <col min="14343" max="14343" width="11.85546875" style="1" customWidth="1"/>
    <col min="14344" max="14344" width="15.140625" style="1" customWidth="1"/>
    <col min="14345" max="14345" width="49" style="1" customWidth="1"/>
    <col min="14346" max="14592" width="9.140625" style="1"/>
    <col min="14593" max="14593" width="6.28515625" style="1" customWidth="1"/>
    <col min="14594" max="14594" width="34.42578125" style="1" customWidth="1"/>
    <col min="14595" max="14595" width="9.140625" style="1"/>
    <col min="14596" max="14596" width="10.28515625" style="1" customWidth="1"/>
    <col min="14597" max="14598" width="12.7109375" style="1" customWidth="1"/>
    <col min="14599" max="14599" width="11.85546875" style="1" customWidth="1"/>
    <col min="14600" max="14600" width="15.140625" style="1" customWidth="1"/>
    <col min="14601" max="14601" width="49" style="1" customWidth="1"/>
    <col min="14602" max="14848" width="9.140625" style="1"/>
    <col min="14849" max="14849" width="6.28515625" style="1" customWidth="1"/>
    <col min="14850" max="14850" width="34.42578125" style="1" customWidth="1"/>
    <col min="14851" max="14851" width="9.140625" style="1"/>
    <col min="14852" max="14852" width="10.28515625" style="1" customWidth="1"/>
    <col min="14853" max="14854" width="12.7109375" style="1" customWidth="1"/>
    <col min="14855" max="14855" width="11.85546875" style="1" customWidth="1"/>
    <col min="14856" max="14856" width="15.140625" style="1" customWidth="1"/>
    <col min="14857" max="14857" width="49" style="1" customWidth="1"/>
    <col min="14858" max="15104" width="9.140625" style="1"/>
    <col min="15105" max="15105" width="6.28515625" style="1" customWidth="1"/>
    <col min="15106" max="15106" width="34.42578125" style="1" customWidth="1"/>
    <col min="15107" max="15107" width="9.140625" style="1"/>
    <col min="15108" max="15108" width="10.28515625" style="1" customWidth="1"/>
    <col min="15109" max="15110" width="12.7109375" style="1" customWidth="1"/>
    <col min="15111" max="15111" width="11.85546875" style="1" customWidth="1"/>
    <col min="15112" max="15112" width="15.140625" style="1" customWidth="1"/>
    <col min="15113" max="15113" width="49" style="1" customWidth="1"/>
    <col min="15114" max="15360" width="9.140625" style="1"/>
    <col min="15361" max="15361" width="6.28515625" style="1" customWidth="1"/>
    <col min="15362" max="15362" width="34.42578125" style="1" customWidth="1"/>
    <col min="15363" max="15363" width="9.140625" style="1"/>
    <col min="15364" max="15364" width="10.28515625" style="1" customWidth="1"/>
    <col min="15365" max="15366" width="12.7109375" style="1" customWidth="1"/>
    <col min="15367" max="15367" width="11.85546875" style="1" customWidth="1"/>
    <col min="15368" max="15368" width="15.140625" style="1" customWidth="1"/>
    <col min="15369" max="15369" width="49" style="1" customWidth="1"/>
    <col min="15370" max="15616" width="9.140625" style="1"/>
    <col min="15617" max="15617" width="6.28515625" style="1" customWidth="1"/>
    <col min="15618" max="15618" width="34.42578125" style="1" customWidth="1"/>
    <col min="15619" max="15619" width="9.140625" style="1"/>
    <col min="15620" max="15620" width="10.28515625" style="1" customWidth="1"/>
    <col min="15621" max="15622" width="12.7109375" style="1" customWidth="1"/>
    <col min="15623" max="15623" width="11.85546875" style="1" customWidth="1"/>
    <col min="15624" max="15624" width="15.140625" style="1" customWidth="1"/>
    <col min="15625" max="15625" width="49" style="1" customWidth="1"/>
    <col min="15626" max="15872" width="9.140625" style="1"/>
    <col min="15873" max="15873" width="6.28515625" style="1" customWidth="1"/>
    <col min="15874" max="15874" width="34.42578125" style="1" customWidth="1"/>
    <col min="15875" max="15875" width="9.140625" style="1"/>
    <col min="15876" max="15876" width="10.28515625" style="1" customWidth="1"/>
    <col min="15877" max="15878" width="12.7109375" style="1" customWidth="1"/>
    <col min="15879" max="15879" width="11.85546875" style="1" customWidth="1"/>
    <col min="15880" max="15880" width="15.140625" style="1" customWidth="1"/>
    <col min="15881" max="15881" width="49" style="1" customWidth="1"/>
    <col min="15882" max="16128" width="9.140625" style="1"/>
    <col min="16129" max="16129" width="6.28515625" style="1" customWidth="1"/>
    <col min="16130" max="16130" width="34.42578125" style="1" customWidth="1"/>
    <col min="16131" max="16131" width="9.140625" style="1"/>
    <col min="16132" max="16132" width="10.28515625" style="1" customWidth="1"/>
    <col min="16133" max="16134" width="12.7109375" style="1" customWidth="1"/>
    <col min="16135" max="16135" width="11.85546875" style="1" customWidth="1"/>
    <col min="16136" max="16136" width="15.140625" style="1" customWidth="1"/>
    <col min="16137" max="16137" width="49" style="1" customWidth="1"/>
    <col min="16138" max="16384" width="9.140625" style="1"/>
  </cols>
  <sheetData>
    <row r="1" spans="1:10" ht="55.5" customHeight="1">
      <c r="A1" s="1861"/>
      <c r="B1" s="1861"/>
      <c r="C1" s="1918"/>
      <c r="D1" s="114"/>
      <c r="E1" s="114"/>
      <c r="F1" s="114"/>
      <c r="G1" s="114"/>
      <c r="H1" s="114"/>
      <c r="I1" s="113" t="s">
        <v>1055</v>
      </c>
    </row>
    <row r="2" spans="1:10" ht="38.25" customHeight="1">
      <c r="A2" s="1919" t="s">
        <v>143</v>
      </c>
      <c r="B2" s="1919"/>
      <c r="C2" s="1919"/>
      <c r="D2" s="1919"/>
      <c r="E2" s="1919"/>
      <c r="F2" s="1919"/>
      <c r="G2" s="1919"/>
      <c r="H2" s="1919"/>
      <c r="I2" s="1919"/>
    </row>
    <row r="3" spans="1:10" ht="27" customHeight="1" thickBot="1">
      <c r="A3" s="30"/>
      <c r="B3" s="30"/>
      <c r="C3" s="30"/>
      <c r="D3" s="30"/>
      <c r="E3" s="30"/>
      <c r="F3" s="30"/>
      <c r="G3" s="30"/>
      <c r="H3" s="30"/>
      <c r="I3" s="115" t="s">
        <v>58</v>
      </c>
    </row>
    <row r="4" spans="1:10" ht="21" customHeight="1" thickBot="1">
      <c r="A4" s="1883" t="s">
        <v>15</v>
      </c>
      <c r="B4" s="1920" t="s">
        <v>34</v>
      </c>
      <c r="C4" s="1920" t="s">
        <v>0</v>
      </c>
      <c r="D4" s="1920" t="s">
        <v>1</v>
      </c>
      <c r="E4" s="1921" t="s">
        <v>22</v>
      </c>
      <c r="F4" s="1922" t="s">
        <v>5</v>
      </c>
      <c r="G4" s="1922" t="s">
        <v>2</v>
      </c>
      <c r="H4" s="1923"/>
      <c r="I4" s="1924" t="s">
        <v>144</v>
      </c>
    </row>
    <row r="5" spans="1:10" ht="15" customHeight="1" thickBot="1">
      <c r="A5" s="1883"/>
      <c r="B5" s="1920"/>
      <c r="C5" s="1920"/>
      <c r="D5" s="1920"/>
      <c r="E5" s="1920"/>
      <c r="F5" s="1922"/>
      <c r="G5" s="1922" t="s">
        <v>20</v>
      </c>
      <c r="H5" s="1923" t="s">
        <v>19</v>
      </c>
      <c r="I5" s="1924"/>
    </row>
    <row r="6" spans="1:10" ht="28.5" customHeight="1" thickBot="1">
      <c r="A6" s="1883"/>
      <c r="B6" s="1920"/>
      <c r="C6" s="1920"/>
      <c r="D6" s="1920"/>
      <c r="E6" s="1920"/>
      <c r="F6" s="1922"/>
      <c r="G6" s="1922"/>
      <c r="H6" s="1923"/>
      <c r="I6" s="1924"/>
    </row>
    <row r="7" spans="1:10" ht="33.75" customHeight="1">
      <c r="A7" s="1936">
        <v>1</v>
      </c>
      <c r="B7" s="1931" t="s">
        <v>145</v>
      </c>
      <c r="C7" s="1942" t="s">
        <v>116</v>
      </c>
      <c r="D7" s="1942" t="s">
        <v>117</v>
      </c>
      <c r="E7" s="1896">
        <f>SUM(G7:H10)</f>
        <v>7745000</v>
      </c>
      <c r="F7" s="451">
        <v>2310</v>
      </c>
      <c r="G7" s="116">
        <v>2605000</v>
      </c>
      <c r="H7" s="456"/>
      <c r="I7" s="460" t="s">
        <v>571</v>
      </c>
    </row>
    <row r="8" spans="1:10" ht="38.25">
      <c r="A8" s="1937"/>
      <c r="B8" s="1932"/>
      <c r="C8" s="1943"/>
      <c r="D8" s="1943"/>
      <c r="E8" s="1897"/>
      <c r="F8" s="1233">
        <v>2320</v>
      </c>
      <c r="G8" s="1234">
        <v>50000</v>
      </c>
      <c r="H8" s="1235"/>
      <c r="I8" s="1236" t="s">
        <v>177</v>
      </c>
    </row>
    <row r="9" spans="1:10" ht="25.5">
      <c r="A9" s="1937"/>
      <c r="B9" s="1932"/>
      <c r="C9" s="1943"/>
      <c r="D9" s="1943"/>
      <c r="E9" s="1897"/>
      <c r="F9" s="1233">
        <v>6610</v>
      </c>
      <c r="G9" s="1234"/>
      <c r="H9" s="1235">
        <v>5040000</v>
      </c>
      <c r="I9" s="1236" t="s">
        <v>146</v>
      </c>
    </row>
    <row r="10" spans="1:10" ht="39" thickBot="1">
      <c r="A10" s="1938"/>
      <c r="B10" s="1932"/>
      <c r="C10" s="1944"/>
      <c r="D10" s="1944"/>
      <c r="E10" s="1898"/>
      <c r="F10" s="1290">
        <v>6620</v>
      </c>
      <c r="G10" s="1291"/>
      <c r="H10" s="1292">
        <v>50000</v>
      </c>
      <c r="I10" s="1255" t="s">
        <v>177</v>
      </c>
    </row>
    <row r="11" spans="1:10" ht="33.75" customHeight="1" thickBot="1">
      <c r="A11" s="1303">
        <v>2</v>
      </c>
      <c r="B11" s="1304" t="s">
        <v>147</v>
      </c>
      <c r="C11" s="1928" t="s">
        <v>123</v>
      </c>
      <c r="D11" s="1305" t="s">
        <v>124</v>
      </c>
      <c r="E11" s="1306">
        <f>SUM(G11:H11)</f>
        <v>350000</v>
      </c>
      <c r="F11" s="1307">
        <v>6170</v>
      </c>
      <c r="G11" s="1308"/>
      <c r="H11" s="1309">
        <v>350000</v>
      </c>
      <c r="I11" s="1310" t="s">
        <v>163</v>
      </c>
      <c r="J11" s="129"/>
    </row>
    <row r="12" spans="1:10" ht="44.25" customHeight="1" thickBot="1">
      <c r="A12" s="1311">
        <v>3</v>
      </c>
      <c r="B12" s="1312" t="s">
        <v>148</v>
      </c>
      <c r="C12" s="1929"/>
      <c r="D12" s="1313" t="s">
        <v>125</v>
      </c>
      <c r="E12" s="1314">
        <f>SUM(G12:H12)</f>
        <v>150000</v>
      </c>
      <c r="F12" s="1315">
        <v>6170</v>
      </c>
      <c r="G12" s="1316"/>
      <c r="H12" s="1317">
        <v>150000</v>
      </c>
      <c r="I12" s="1318" t="s">
        <v>149</v>
      </c>
      <c r="J12" s="129"/>
    </row>
    <row r="13" spans="1:10" ht="46.5" customHeight="1" thickBot="1">
      <c r="A13" s="1303">
        <v>4</v>
      </c>
      <c r="B13" s="1304" t="s">
        <v>150</v>
      </c>
      <c r="C13" s="1930"/>
      <c r="D13" s="1305" t="s">
        <v>126</v>
      </c>
      <c r="E13" s="1306">
        <f>SUM(G13:H13)</f>
        <v>400000</v>
      </c>
      <c r="F13" s="1307">
        <v>6170</v>
      </c>
      <c r="G13" s="1308"/>
      <c r="H13" s="1309">
        <v>400000</v>
      </c>
      <c r="I13" s="1310" t="s">
        <v>151</v>
      </c>
      <c r="J13" s="129"/>
    </row>
    <row r="14" spans="1:10" ht="108" customHeight="1" thickBot="1">
      <c r="A14" s="1296">
        <v>5</v>
      </c>
      <c r="B14" s="1297" t="s">
        <v>178</v>
      </c>
      <c r="C14" s="1239">
        <v>851</v>
      </c>
      <c r="D14" s="1216">
        <v>85111</v>
      </c>
      <c r="E14" s="1298">
        <f>SUM(G14:H18)</f>
        <v>23629686</v>
      </c>
      <c r="F14" s="1299">
        <v>6220</v>
      </c>
      <c r="G14" s="1300"/>
      <c r="H14" s="1301">
        <v>5932520</v>
      </c>
      <c r="I14" s="1302" t="s">
        <v>293</v>
      </c>
      <c r="J14" s="124"/>
    </row>
    <row r="15" spans="1:10" ht="213" customHeight="1">
      <c r="A15" s="465">
        <v>6</v>
      </c>
      <c r="B15" s="467" t="s">
        <v>111</v>
      </c>
      <c r="C15" s="1911">
        <v>851</v>
      </c>
      <c r="D15" s="1911">
        <v>85111</v>
      </c>
      <c r="E15" s="1908" t="s">
        <v>180</v>
      </c>
      <c r="F15" s="451">
        <v>6220</v>
      </c>
      <c r="G15" s="116"/>
      <c r="H15" s="457">
        <v>2089427</v>
      </c>
      <c r="I15" s="460" t="s">
        <v>566</v>
      </c>
      <c r="J15" s="124"/>
    </row>
    <row r="16" spans="1:10" ht="149.25" customHeight="1" thickBot="1">
      <c r="A16" s="1289">
        <v>7</v>
      </c>
      <c r="B16" s="1293" t="s">
        <v>165</v>
      </c>
      <c r="C16" s="1912"/>
      <c r="D16" s="1912"/>
      <c r="E16" s="1909"/>
      <c r="F16" s="1290">
        <v>6220</v>
      </c>
      <c r="G16" s="1291"/>
      <c r="H16" s="1294">
        <f>1361832+1225625+294150+686350</f>
        <v>3567957</v>
      </c>
      <c r="I16" s="1255" t="s">
        <v>295</v>
      </c>
      <c r="J16" s="412"/>
    </row>
    <row r="17" spans="1:14" ht="58.5" customHeight="1" thickBot="1">
      <c r="A17" s="1284">
        <v>8</v>
      </c>
      <c r="B17" s="1295" t="s">
        <v>166</v>
      </c>
      <c r="C17" s="1912"/>
      <c r="D17" s="1912"/>
      <c r="E17" s="1909"/>
      <c r="F17" s="1286">
        <v>6220</v>
      </c>
      <c r="G17" s="1287"/>
      <c r="H17" s="1288">
        <v>8496017</v>
      </c>
      <c r="I17" s="1277" t="s">
        <v>296</v>
      </c>
      <c r="J17" s="124"/>
    </row>
    <row r="18" spans="1:14" ht="97.5" customHeight="1" thickBot="1">
      <c r="A18" s="1284">
        <v>9</v>
      </c>
      <c r="B18" s="1261" t="s">
        <v>167</v>
      </c>
      <c r="C18" s="1935"/>
      <c r="D18" s="1935"/>
      <c r="E18" s="1910"/>
      <c r="F18" s="1286">
        <v>6220</v>
      </c>
      <c r="G18" s="1287"/>
      <c r="H18" s="1288">
        <v>3543765</v>
      </c>
      <c r="I18" s="1277" t="s">
        <v>294</v>
      </c>
      <c r="J18" s="412"/>
    </row>
    <row r="19" spans="1:14" ht="42" customHeight="1" thickBot="1">
      <c r="A19" s="1278">
        <v>10</v>
      </c>
      <c r="B19" s="1279" t="s">
        <v>168</v>
      </c>
      <c r="C19" s="1911">
        <v>851</v>
      </c>
      <c r="D19" s="1933">
        <v>85120</v>
      </c>
      <c r="E19" s="1947">
        <f>SUM(G19:H20)</f>
        <v>1231796</v>
      </c>
      <c r="F19" s="1280">
        <v>6220</v>
      </c>
      <c r="G19" s="1281"/>
      <c r="H19" s="1282">
        <v>392000</v>
      </c>
      <c r="I19" s="1283" t="s">
        <v>567</v>
      </c>
      <c r="J19" s="124"/>
    </row>
    <row r="20" spans="1:14" ht="131.25" customHeight="1" thickBot="1">
      <c r="A20" s="1284">
        <v>11</v>
      </c>
      <c r="B20" s="1285" t="s">
        <v>169</v>
      </c>
      <c r="C20" s="1912"/>
      <c r="D20" s="1934"/>
      <c r="E20" s="1948"/>
      <c r="F20" s="1286">
        <v>6220</v>
      </c>
      <c r="G20" s="1287"/>
      <c r="H20" s="1288">
        <v>839796</v>
      </c>
      <c r="I20" s="1277" t="s">
        <v>297</v>
      </c>
      <c r="J20" s="412"/>
    </row>
    <row r="21" spans="1:14" ht="31.5" customHeight="1" thickBot="1">
      <c r="A21" s="1267">
        <v>12</v>
      </c>
      <c r="B21" s="1268" t="s">
        <v>142</v>
      </c>
      <c r="C21" s="1912"/>
      <c r="D21" s="1215">
        <v>85121</v>
      </c>
      <c r="E21" s="1269">
        <f>SUM(G21:H21)</f>
        <v>800000</v>
      </c>
      <c r="F21" s="1270">
        <v>6220</v>
      </c>
      <c r="G21" s="1271"/>
      <c r="H21" s="1272">
        <v>800000</v>
      </c>
      <c r="I21" s="1273" t="s">
        <v>298</v>
      </c>
      <c r="J21" s="2"/>
      <c r="K21" s="187"/>
      <c r="L21" s="187"/>
      <c r="M21" s="187"/>
      <c r="N21" s="187"/>
    </row>
    <row r="22" spans="1:14" ht="88.5" customHeight="1" thickBot="1">
      <c r="A22" s="1260">
        <v>13</v>
      </c>
      <c r="B22" s="1274" t="s">
        <v>299</v>
      </c>
      <c r="C22" s="1912"/>
      <c r="D22" s="1239">
        <v>85141</v>
      </c>
      <c r="E22" s="1262">
        <f>SUM(G22:H22)</f>
        <v>640000</v>
      </c>
      <c r="F22" s="1263">
        <v>6220</v>
      </c>
      <c r="G22" s="1275"/>
      <c r="H22" s="1276">
        <v>640000</v>
      </c>
      <c r="I22" s="1277" t="s">
        <v>300</v>
      </c>
      <c r="J22" s="2"/>
      <c r="K22" s="187"/>
      <c r="L22" s="187"/>
      <c r="M22" s="187"/>
      <c r="N22" s="187"/>
    </row>
    <row r="23" spans="1:14" ht="89.25" customHeight="1">
      <c r="A23" s="1939">
        <v>14</v>
      </c>
      <c r="B23" s="1916" t="s">
        <v>179</v>
      </c>
      <c r="C23" s="1911">
        <v>921</v>
      </c>
      <c r="D23" s="1911">
        <v>92106</v>
      </c>
      <c r="E23" s="455">
        <f>SUM(G23:H23)</f>
        <v>650000</v>
      </c>
      <c r="F23" s="452">
        <v>2800</v>
      </c>
      <c r="G23" s="1245">
        <v>650000</v>
      </c>
      <c r="H23" s="1256"/>
      <c r="I23" s="1247" t="s">
        <v>192</v>
      </c>
      <c r="K23" s="187"/>
      <c r="L23" s="187"/>
      <c r="M23" s="187"/>
      <c r="N23" s="187"/>
    </row>
    <row r="24" spans="1:14" ht="101.25" customHeight="1" thickBot="1">
      <c r="A24" s="1940"/>
      <c r="B24" s="1917"/>
      <c r="C24" s="1912"/>
      <c r="D24" s="1912"/>
      <c r="E24" s="1253">
        <f>SUM(G24:H24)</f>
        <v>300000</v>
      </c>
      <c r="F24" s="1254">
        <v>6220</v>
      </c>
      <c r="G24" s="1257"/>
      <c r="H24" s="1258">
        <v>300000</v>
      </c>
      <c r="I24" s="1259" t="s">
        <v>193</v>
      </c>
      <c r="K24" s="187"/>
      <c r="L24" s="187"/>
      <c r="M24" s="187"/>
      <c r="N24" s="187"/>
    </row>
    <row r="25" spans="1:14" ht="80.25" customHeight="1" thickBot="1">
      <c r="A25" s="1260">
        <v>16</v>
      </c>
      <c r="B25" s="1261" t="s">
        <v>152</v>
      </c>
      <c r="C25" s="1935"/>
      <c r="D25" s="1239">
        <v>92108</v>
      </c>
      <c r="E25" s="1262">
        <f>SUM(G25:H25)</f>
        <v>550000</v>
      </c>
      <c r="F25" s="1263">
        <v>2800</v>
      </c>
      <c r="G25" s="1264">
        <v>550000</v>
      </c>
      <c r="H25" s="1265"/>
      <c r="I25" s="1266" t="s">
        <v>194</v>
      </c>
      <c r="K25" s="187"/>
      <c r="L25" s="187"/>
      <c r="M25" s="187"/>
      <c r="N25" s="187"/>
    </row>
    <row r="26" spans="1:14" ht="90.75" customHeight="1">
      <c r="A26" s="1939">
        <v>15</v>
      </c>
      <c r="B26" s="1916" t="s">
        <v>153</v>
      </c>
      <c r="C26" s="1911">
        <v>921</v>
      </c>
      <c r="D26" s="1911">
        <v>92109</v>
      </c>
      <c r="E26" s="1908">
        <f>SUM(G26:H29)</f>
        <v>1564226</v>
      </c>
      <c r="F26" s="1251">
        <v>2800</v>
      </c>
      <c r="G26" s="1245">
        <v>155000</v>
      </c>
      <c r="H26" s="1246"/>
      <c r="I26" s="1247" t="s">
        <v>195</v>
      </c>
      <c r="J26" s="2"/>
      <c r="K26" s="187"/>
      <c r="L26" s="187"/>
      <c r="M26" s="187"/>
      <c r="N26" s="187"/>
    </row>
    <row r="27" spans="1:14" ht="51.75" thickBot="1">
      <c r="A27" s="1941"/>
      <c r="B27" s="1945"/>
      <c r="C27" s="1912"/>
      <c r="D27" s="1912"/>
      <c r="E27" s="1909"/>
      <c r="F27" s="1252">
        <v>6220</v>
      </c>
      <c r="G27" s="1249"/>
      <c r="H27" s="1250">
        <v>985226</v>
      </c>
      <c r="I27" s="462" t="s">
        <v>568</v>
      </c>
      <c r="K27" s="187"/>
      <c r="L27" s="187"/>
      <c r="M27" s="187"/>
      <c r="N27" s="187"/>
    </row>
    <row r="28" spans="1:14" ht="117.75" customHeight="1">
      <c r="A28" s="1903">
        <v>16</v>
      </c>
      <c r="B28" s="1913" t="s">
        <v>47</v>
      </c>
      <c r="C28" s="1912"/>
      <c r="D28" s="1912"/>
      <c r="E28" s="1909"/>
      <c r="F28" s="453">
        <v>2800</v>
      </c>
      <c r="G28" s="449">
        <v>229000</v>
      </c>
      <c r="H28" s="458"/>
      <c r="I28" s="1214" t="s">
        <v>196</v>
      </c>
      <c r="J28" s="2"/>
      <c r="K28" s="187"/>
      <c r="L28" s="187"/>
      <c r="M28" s="187"/>
      <c r="N28" s="187"/>
    </row>
    <row r="29" spans="1:14" ht="51.75" thickBot="1">
      <c r="A29" s="1900"/>
      <c r="B29" s="1907"/>
      <c r="C29" s="1912"/>
      <c r="D29" s="1935"/>
      <c r="E29" s="1910"/>
      <c r="F29" s="1248">
        <v>6220</v>
      </c>
      <c r="G29" s="1249"/>
      <c r="H29" s="1250">
        <v>195000</v>
      </c>
      <c r="I29" s="462" t="s">
        <v>569</v>
      </c>
      <c r="J29" s="2"/>
      <c r="K29" s="187"/>
      <c r="L29" s="187"/>
      <c r="M29" s="187"/>
      <c r="N29" s="187"/>
    </row>
    <row r="30" spans="1:14" ht="33" customHeight="1" thickBot="1">
      <c r="A30" s="1237">
        <v>17</v>
      </c>
      <c r="B30" s="1238" t="s">
        <v>43</v>
      </c>
      <c r="C30" s="1912"/>
      <c r="D30" s="1239">
        <v>92110</v>
      </c>
      <c r="E30" s="1240">
        <f>SUM(G30:H30)</f>
        <v>60000</v>
      </c>
      <c r="F30" s="1241">
        <v>2800</v>
      </c>
      <c r="G30" s="1242">
        <v>60000</v>
      </c>
      <c r="H30" s="1243"/>
      <c r="I30" s="1244" t="s">
        <v>197</v>
      </c>
      <c r="J30" s="2"/>
      <c r="K30" s="187"/>
      <c r="L30" s="187"/>
      <c r="M30" s="187"/>
      <c r="N30" s="187"/>
    </row>
    <row r="31" spans="1:14" ht="99.75" customHeight="1">
      <c r="A31" s="1903">
        <v>18</v>
      </c>
      <c r="B31" s="1914" t="s">
        <v>42</v>
      </c>
      <c r="C31" s="1912"/>
      <c r="D31" s="1933">
        <v>92114</v>
      </c>
      <c r="E31" s="1949">
        <f>SUM(G31:H32)</f>
        <v>676576</v>
      </c>
      <c r="F31" s="453">
        <v>2800</v>
      </c>
      <c r="G31" s="449">
        <v>29476</v>
      </c>
      <c r="H31" s="458"/>
      <c r="I31" s="1214" t="s">
        <v>198</v>
      </c>
      <c r="K31" s="187"/>
      <c r="L31" s="187"/>
      <c r="M31" s="187"/>
      <c r="N31" s="187"/>
    </row>
    <row r="32" spans="1:14" ht="61.5" customHeight="1" thickBot="1">
      <c r="A32" s="1900"/>
      <c r="B32" s="1915"/>
      <c r="C32" s="1935"/>
      <c r="D32" s="1934"/>
      <c r="E32" s="1950"/>
      <c r="F32" s="1248">
        <v>6220</v>
      </c>
      <c r="G32" s="1249"/>
      <c r="H32" s="1250">
        <v>647100</v>
      </c>
      <c r="I32" s="462" t="s">
        <v>570</v>
      </c>
      <c r="K32" s="187"/>
      <c r="L32" s="187"/>
      <c r="M32" s="187"/>
      <c r="N32" s="187"/>
    </row>
    <row r="33" spans="1:14" ht="63.75" customHeight="1">
      <c r="A33" s="1899">
        <v>19</v>
      </c>
      <c r="B33" s="1906" t="s">
        <v>154</v>
      </c>
      <c r="C33" s="1911">
        <v>921</v>
      </c>
      <c r="D33" s="1911">
        <v>92116</v>
      </c>
      <c r="E33" s="1901">
        <f>SUM(G33:H34)</f>
        <v>311290</v>
      </c>
      <c r="F33" s="454">
        <v>2800</v>
      </c>
      <c r="G33" s="450">
        <v>103000</v>
      </c>
      <c r="H33" s="459"/>
      <c r="I33" s="463" t="s">
        <v>199</v>
      </c>
      <c r="K33" s="187"/>
      <c r="L33" s="187"/>
      <c r="M33" s="187"/>
      <c r="N33" s="187"/>
    </row>
    <row r="34" spans="1:14" ht="109.5" customHeight="1" thickBot="1">
      <c r="A34" s="1903"/>
      <c r="B34" s="1913"/>
      <c r="C34" s="1912"/>
      <c r="D34" s="1912"/>
      <c r="E34" s="1902"/>
      <c r="F34" s="1319">
        <v>6220</v>
      </c>
      <c r="G34" s="1320"/>
      <c r="H34" s="1321">
        <v>208290</v>
      </c>
      <c r="I34" s="1322" t="s">
        <v>206</v>
      </c>
      <c r="K34" s="187"/>
      <c r="L34" s="187"/>
      <c r="M34" s="187"/>
      <c r="N34" s="187"/>
    </row>
    <row r="35" spans="1:14" ht="98.25" customHeight="1">
      <c r="A35" s="1899">
        <v>20</v>
      </c>
      <c r="B35" s="1904" t="s">
        <v>54</v>
      </c>
      <c r="C35" s="1912"/>
      <c r="D35" s="1911">
        <v>92118</v>
      </c>
      <c r="E35" s="1901">
        <f>SUM(G35:H46)</f>
        <v>7694876</v>
      </c>
      <c r="F35" s="454">
        <v>2800</v>
      </c>
      <c r="G35" s="450">
        <v>367500</v>
      </c>
      <c r="H35" s="459"/>
      <c r="I35" s="463" t="s">
        <v>204</v>
      </c>
      <c r="K35" s="187"/>
      <c r="L35" s="187"/>
      <c r="M35" s="187"/>
      <c r="N35" s="187"/>
    </row>
    <row r="36" spans="1:14" ht="91.5" customHeight="1" thickBot="1">
      <c r="A36" s="1900"/>
      <c r="B36" s="1905"/>
      <c r="C36" s="1912"/>
      <c r="D36" s="1912"/>
      <c r="E36" s="1902"/>
      <c r="F36" s="1248">
        <v>6220</v>
      </c>
      <c r="G36" s="1249"/>
      <c r="H36" s="1250">
        <f>608685+30000</f>
        <v>638685</v>
      </c>
      <c r="I36" s="1211" t="s">
        <v>205</v>
      </c>
      <c r="K36" s="187"/>
      <c r="L36" s="187"/>
      <c r="M36" s="187"/>
      <c r="N36" s="187"/>
    </row>
    <row r="37" spans="1:14" ht="81" customHeight="1">
      <c r="A37" s="1956">
        <v>21</v>
      </c>
      <c r="B37" s="1953" t="s">
        <v>200</v>
      </c>
      <c r="C37" s="1912"/>
      <c r="D37" s="1912"/>
      <c r="E37" s="1902"/>
      <c r="F37" s="454">
        <v>2800</v>
      </c>
      <c r="G37" s="450">
        <v>2865480</v>
      </c>
      <c r="H37" s="459"/>
      <c r="I37" s="463" t="s">
        <v>201</v>
      </c>
      <c r="K37" s="187"/>
      <c r="L37" s="187"/>
      <c r="M37" s="187"/>
      <c r="N37" s="187"/>
    </row>
    <row r="38" spans="1:14" ht="81" customHeight="1">
      <c r="A38" s="1957"/>
      <c r="B38" s="1954"/>
      <c r="C38" s="1912"/>
      <c r="D38" s="1912"/>
      <c r="E38" s="1902"/>
      <c r="F38" s="1951">
        <v>6220</v>
      </c>
      <c r="G38" s="1425"/>
      <c r="H38" s="1426">
        <v>660614</v>
      </c>
      <c r="I38" s="1427" t="s">
        <v>579</v>
      </c>
      <c r="K38" s="187"/>
      <c r="L38" s="187"/>
      <c r="M38" s="187"/>
      <c r="N38" s="187"/>
    </row>
    <row r="39" spans="1:14" ht="81" customHeight="1" thickBot="1">
      <c r="A39" s="1958"/>
      <c r="B39" s="1955"/>
      <c r="C39" s="1935"/>
      <c r="D39" s="1935"/>
      <c r="E39" s="1946"/>
      <c r="F39" s="1952"/>
      <c r="G39" s="1428"/>
      <c r="H39" s="1429">
        <v>1950671</v>
      </c>
      <c r="I39" s="1424" t="s">
        <v>1050</v>
      </c>
      <c r="J39" s="2"/>
      <c r="K39" s="187"/>
      <c r="L39" s="187"/>
      <c r="M39" s="187"/>
      <c r="N39" s="187"/>
    </row>
    <row r="40" spans="1:14" ht="90" customHeight="1">
      <c r="A40" s="1899">
        <v>22</v>
      </c>
      <c r="B40" s="1904" t="s">
        <v>202</v>
      </c>
      <c r="C40" s="1911">
        <v>921</v>
      </c>
      <c r="D40" s="1911">
        <v>92118</v>
      </c>
      <c r="E40" s="1901" t="s">
        <v>565</v>
      </c>
      <c r="F40" s="1323">
        <v>2800</v>
      </c>
      <c r="G40" s="450">
        <f>25669+8050</f>
        <v>33719</v>
      </c>
      <c r="H40" s="459"/>
      <c r="I40" s="463" t="s">
        <v>203</v>
      </c>
      <c r="K40" s="187"/>
      <c r="L40" s="187"/>
      <c r="M40" s="187"/>
      <c r="N40" s="187"/>
    </row>
    <row r="41" spans="1:14" ht="40.5" customHeight="1" thickBot="1">
      <c r="A41" s="1900"/>
      <c r="B41" s="1905"/>
      <c r="C41" s="1912"/>
      <c r="D41" s="1912"/>
      <c r="E41" s="1902"/>
      <c r="F41" s="1252">
        <v>6220</v>
      </c>
      <c r="G41" s="1249"/>
      <c r="H41" s="1250">
        <v>6150</v>
      </c>
      <c r="I41" s="1211" t="s">
        <v>580</v>
      </c>
      <c r="K41" s="187"/>
      <c r="L41" s="187"/>
      <c r="M41" s="187"/>
      <c r="N41" s="187"/>
    </row>
    <row r="42" spans="1:14" ht="49.5" customHeight="1" thickBot="1">
      <c r="A42" s="1324">
        <v>23</v>
      </c>
      <c r="B42" s="1325" t="s">
        <v>53</v>
      </c>
      <c r="C42" s="1912"/>
      <c r="D42" s="1912"/>
      <c r="E42" s="1902"/>
      <c r="F42" s="1326">
        <v>6220</v>
      </c>
      <c r="G42" s="1327"/>
      <c r="H42" s="1328">
        <v>962057</v>
      </c>
      <c r="I42" s="1329" t="s">
        <v>581</v>
      </c>
      <c r="J42" s="2">
        <f>SUM(H46,H43,H42,H41,H39,H38,H36)</f>
        <v>4268177</v>
      </c>
      <c r="K42" s="187"/>
      <c r="L42" s="187"/>
      <c r="M42" s="187"/>
      <c r="N42" s="187"/>
    </row>
    <row r="43" spans="1:14" ht="72" customHeight="1" thickBot="1">
      <c r="A43" s="1237">
        <v>24</v>
      </c>
      <c r="B43" s="1295" t="s">
        <v>207</v>
      </c>
      <c r="C43" s="1912"/>
      <c r="D43" s="1912"/>
      <c r="E43" s="1902"/>
      <c r="F43" s="1334">
        <v>6220</v>
      </c>
      <c r="G43" s="1242"/>
      <c r="H43" s="1243">
        <v>30000</v>
      </c>
      <c r="I43" s="1238" t="s">
        <v>208</v>
      </c>
      <c r="J43" s="2"/>
      <c r="K43" s="187"/>
      <c r="L43" s="187"/>
      <c r="M43" s="187"/>
      <c r="N43" s="187"/>
    </row>
    <row r="44" spans="1:14" ht="77.25" thickBot="1">
      <c r="A44" s="1324">
        <v>25</v>
      </c>
      <c r="B44" s="1329" t="s">
        <v>155</v>
      </c>
      <c r="C44" s="1912"/>
      <c r="D44" s="1912"/>
      <c r="E44" s="1902"/>
      <c r="F44" s="1326">
        <v>2800</v>
      </c>
      <c r="G44" s="1327">
        <v>70000</v>
      </c>
      <c r="H44" s="1328"/>
      <c r="I44" s="1329" t="s">
        <v>209</v>
      </c>
      <c r="J44" s="2">
        <f>SUM(G44:G45,G40,G37,G35)</f>
        <v>3426699</v>
      </c>
      <c r="K44" s="187"/>
      <c r="L44" s="187"/>
      <c r="M44" s="187"/>
      <c r="N44" s="187"/>
    </row>
    <row r="45" spans="1:14" ht="71.25" customHeight="1">
      <c r="A45" s="1899">
        <v>26</v>
      </c>
      <c r="B45" s="1906" t="s">
        <v>50</v>
      </c>
      <c r="C45" s="1912"/>
      <c r="D45" s="1912"/>
      <c r="E45" s="1902"/>
      <c r="F45" s="1335">
        <v>2800</v>
      </c>
      <c r="G45" s="1336">
        <v>90000</v>
      </c>
      <c r="H45" s="1337"/>
      <c r="I45" s="1338" t="s">
        <v>210</v>
      </c>
      <c r="K45" s="187"/>
      <c r="L45" s="187"/>
      <c r="M45" s="187"/>
      <c r="N45" s="187"/>
    </row>
    <row r="46" spans="1:14" ht="71.25" customHeight="1" thickBot="1">
      <c r="A46" s="1900"/>
      <c r="B46" s="1907"/>
      <c r="C46" s="1935"/>
      <c r="D46" s="1935"/>
      <c r="E46" s="1946"/>
      <c r="F46" s="1252">
        <v>6220</v>
      </c>
      <c r="G46" s="1249"/>
      <c r="H46" s="1250">
        <v>20000</v>
      </c>
      <c r="I46" s="464" t="s">
        <v>211</v>
      </c>
      <c r="K46" s="187"/>
      <c r="L46" s="187"/>
      <c r="M46" s="187"/>
      <c r="N46" s="187"/>
    </row>
    <row r="47" spans="1:14" ht="31.5" customHeight="1" thickBot="1">
      <c r="A47" s="1925" t="s">
        <v>22</v>
      </c>
      <c r="B47" s="1926"/>
      <c r="C47" s="1927"/>
      <c r="D47" s="1927"/>
      <c r="E47" s="128">
        <f>SUM(E7:E46)</f>
        <v>46753450</v>
      </c>
      <c r="F47" s="1330"/>
      <c r="G47" s="1331">
        <f>SUM(G7:G46)</f>
        <v>7858175</v>
      </c>
      <c r="H47" s="1332">
        <f>SUM(H7:H46)</f>
        <v>38895275</v>
      </c>
      <c r="I47" s="1333"/>
      <c r="K47" s="187"/>
      <c r="L47" s="187"/>
      <c r="M47" s="187"/>
      <c r="N47" s="187"/>
    </row>
    <row r="48" spans="1:14">
      <c r="G48" s="2"/>
      <c r="H48" s="2"/>
      <c r="K48" s="187"/>
      <c r="L48" s="187"/>
      <c r="M48" s="187"/>
      <c r="N48" s="187"/>
    </row>
    <row r="49" spans="5:14">
      <c r="E49" s="2"/>
      <c r="G49" s="2"/>
      <c r="H49" s="2"/>
      <c r="K49" s="187"/>
      <c r="L49" s="187"/>
      <c r="M49" s="187"/>
      <c r="N49" s="187"/>
    </row>
    <row r="50" spans="5:14">
      <c r="G50" s="2"/>
      <c r="K50" s="187"/>
      <c r="L50" s="187"/>
      <c r="M50" s="187"/>
      <c r="N50" s="187"/>
    </row>
    <row r="51" spans="5:14">
      <c r="G51" s="2"/>
      <c r="H51" s="2"/>
      <c r="K51" s="187"/>
      <c r="L51" s="187"/>
      <c r="M51" s="187"/>
      <c r="N51" s="187"/>
    </row>
    <row r="52" spans="5:14">
      <c r="K52" s="187"/>
      <c r="L52" s="187"/>
      <c r="M52" s="187"/>
      <c r="N52" s="187"/>
    </row>
    <row r="53" spans="5:14">
      <c r="G53" s="2"/>
      <c r="H53" s="2"/>
      <c r="K53" s="187"/>
      <c r="L53" s="187"/>
      <c r="M53" s="187"/>
      <c r="N53" s="187"/>
    </row>
    <row r="54" spans="5:14">
      <c r="G54" s="2"/>
      <c r="H54" s="2"/>
      <c r="K54" s="187"/>
      <c r="L54" s="187"/>
      <c r="M54" s="187"/>
      <c r="N54" s="187"/>
    </row>
    <row r="55" spans="5:14" ht="82.5" customHeight="1">
      <c r="G55" s="2"/>
      <c r="H55" s="2"/>
      <c r="K55" s="187"/>
      <c r="L55" s="187"/>
      <c r="M55" s="187"/>
      <c r="N55" s="187"/>
    </row>
    <row r="56" spans="5:14">
      <c r="H56" s="2"/>
    </row>
  </sheetData>
  <mergeCells count="59">
    <mergeCell ref="A37:A39"/>
    <mergeCell ref="C33:C39"/>
    <mergeCell ref="D35:D39"/>
    <mergeCell ref="E35:E39"/>
    <mergeCell ref="E19:E20"/>
    <mergeCell ref="E26:E29"/>
    <mergeCell ref="E31:E32"/>
    <mergeCell ref="F38:F39"/>
    <mergeCell ref="B37:B39"/>
    <mergeCell ref="C23:C25"/>
    <mergeCell ref="D26:D29"/>
    <mergeCell ref="C26:C32"/>
    <mergeCell ref="E40:E46"/>
    <mergeCell ref="D40:D46"/>
    <mergeCell ref="C40:C46"/>
    <mergeCell ref="A47:D47"/>
    <mergeCell ref="C11:C13"/>
    <mergeCell ref="B7:B10"/>
    <mergeCell ref="A31:A32"/>
    <mergeCell ref="D31:D32"/>
    <mergeCell ref="A35:A36"/>
    <mergeCell ref="B35:B36"/>
    <mergeCell ref="D15:D18"/>
    <mergeCell ref="A28:A29"/>
    <mergeCell ref="A7:A10"/>
    <mergeCell ref="A23:A24"/>
    <mergeCell ref="A26:A27"/>
    <mergeCell ref="C7:C10"/>
    <mergeCell ref="D7:D10"/>
    <mergeCell ref="B26:B27"/>
    <mergeCell ref="D19:D20"/>
    <mergeCell ref="A1:C1"/>
    <mergeCell ref="A2:I2"/>
    <mergeCell ref="A4:A6"/>
    <mergeCell ref="B4:B6"/>
    <mergeCell ref="C4:C6"/>
    <mergeCell ref="D4:D6"/>
    <mergeCell ref="E4:E6"/>
    <mergeCell ref="F4:F6"/>
    <mergeCell ref="G4:H4"/>
    <mergeCell ref="I4:I6"/>
    <mergeCell ref="G5:G6"/>
    <mergeCell ref="H5:H6"/>
    <mergeCell ref="E7:E10"/>
    <mergeCell ref="A45:A46"/>
    <mergeCell ref="E33:E34"/>
    <mergeCell ref="A33:A34"/>
    <mergeCell ref="B40:B41"/>
    <mergeCell ref="A40:A41"/>
    <mergeCell ref="B45:B46"/>
    <mergeCell ref="E15:E18"/>
    <mergeCell ref="D33:D34"/>
    <mergeCell ref="B33:B34"/>
    <mergeCell ref="B28:B29"/>
    <mergeCell ref="B31:B32"/>
    <mergeCell ref="D23:D24"/>
    <mergeCell ref="B23:B24"/>
    <mergeCell ref="C15:C18"/>
    <mergeCell ref="C19:C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Strona &amp;P z &amp;N</oddFooter>
  </headerFooter>
  <rowBreaks count="3" manualBreakCount="3">
    <brk id="18" max="8" man="1"/>
    <brk id="32" max="8" man="1"/>
    <brk id="39" max="8" man="1"/>
  </rowBreaks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H148"/>
  <sheetViews>
    <sheetView view="pageBreakPreview" zoomScaleSheetLayoutView="100" workbookViewId="0">
      <selection activeCell="H1" sqref="H1"/>
    </sheetView>
  </sheetViews>
  <sheetFormatPr defaultRowHeight="12.75"/>
  <cols>
    <col min="1" max="1" width="4.140625" style="1" bestFit="1" customWidth="1"/>
    <col min="2" max="2" width="7.7109375" style="1" customWidth="1"/>
    <col min="3" max="5" width="12.7109375" style="1" customWidth="1"/>
    <col min="6" max="6" width="12.5703125" style="1" customWidth="1"/>
    <col min="7" max="7" width="11.5703125" style="1" bestFit="1" customWidth="1"/>
    <col min="8" max="8" width="82.28515625" style="1" customWidth="1"/>
    <col min="9" max="259" width="9.140625" style="1"/>
    <col min="260" max="260" width="7.140625" style="1" customWidth="1"/>
    <col min="261" max="261" width="10.42578125" style="1" customWidth="1"/>
    <col min="262" max="262" width="12.85546875" style="1" customWidth="1"/>
    <col min="263" max="263" width="13.140625" style="1" customWidth="1"/>
    <col min="264" max="264" width="61" style="1" customWidth="1"/>
    <col min="265" max="515" width="9.140625" style="1"/>
    <col min="516" max="516" width="7.140625" style="1" customWidth="1"/>
    <col min="517" max="517" width="10.42578125" style="1" customWidth="1"/>
    <col min="518" max="518" width="12.85546875" style="1" customWidth="1"/>
    <col min="519" max="519" width="13.140625" style="1" customWidth="1"/>
    <col min="520" max="520" width="61" style="1" customWidth="1"/>
    <col min="521" max="771" width="9.140625" style="1"/>
    <col min="772" max="772" width="7.140625" style="1" customWidth="1"/>
    <col min="773" max="773" width="10.42578125" style="1" customWidth="1"/>
    <col min="774" max="774" width="12.85546875" style="1" customWidth="1"/>
    <col min="775" max="775" width="13.140625" style="1" customWidth="1"/>
    <col min="776" max="776" width="61" style="1" customWidth="1"/>
    <col min="777" max="1027" width="9.140625" style="1"/>
    <col min="1028" max="1028" width="7.140625" style="1" customWidth="1"/>
    <col min="1029" max="1029" width="10.42578125" style="1" customWidth="1"/>
    <col min="1030" max="1030" width="12.85546875" style="1" customWidth="1"/>
    <col min="1031" max="1031" width="13.140625" style="1" customWidth="1"/>
    <col min="1032" max="1032" width="61" style="1" customWidth="1"/>
    <col min="1033" max="1283" width="9.140625" style="1"/>
    <col min="1284" max="1284" width="7.140625" style="1" customWidth="1"/>
    <col min="1285" max="1285" width="10.42578125" style="1" customWidth="1"/>
    <col min="1286" max="1286" width="12.85546875" style="1" customWidth="1"/>
    <col min="1287" max="1287" width="13.140625" style="1" customWidth="1"/>
    <col min="1288" max="1288" width="61" style="1" customWidth="1"/>
    <col min="1289" max="1539" width="9.140625" style="1"/>
    <col min="1540" max="1540" width="7.140625" style="1" customWidth="1"/>
    <col min="1541" max="1541" width="10.42578125" style="1" customWidth="1"/>
    <col min="1542" max="1542" width="12.85546875" style="1" customWidth="1"/>
    <col min="1543" max="1543" width="13.140625" style="1" customWidth="1"/>
    <col min="1544" max="1544" width="61" style="1" customWidth="1"/>
    <col min="1545" max="1795" width="9.140625" style="1"/>
    <col min="1796" max="1796" width="7.140625" style="1" customWidth="1"/>
    <col min="1797" max="1797" width="10.42578125" style="1" customWidth="1"/>
    <col min="1798" max="1798" width="12.85546875" style="1" customWidth="1"/>
    <col min="1799" max="1799" width="13.140625" style="1" customWidth="1"/>
    <col min="1800" max="1800" width="61" style="1" customWidth="1"/>
    <col min="1801" max="2051" width="9.140625" style="1"/>
    <col min="2052" max="2052" width="7.140625" style="1" customWidth="1"/>
    <col min="2053" max="2053" width="10.42578125" style="1" customWidth="1"/>
    <col min="2054" max="2054" width="12.85546875" style="1" customWidth="1"/>
    <col min="2055" max="2055" width="13.140625" style="1" customWidth="1"/>
    <col min="2056" max="2056" width="61" style="1" customWidth="1"/>
    <col min="2057" max="2307" width="9.140625" style="1"/>
    <col min="2308" max="2308" width="7.140625" style="1" customWidth="1"/>
    <col min="2309" max="2309" width="10.42578125" style="1" customWidth="1"/>
    <col min="2310" max="2310" width="12.85546875" style="1" customWidth="1"/>
    <col min="2311" max="2311" width="13.140625" style="1" customWidth="1"/>
    <col min="2312" max="2312" width="61" style="1" customWidth="1"/>
    <col min="2313" max="2563" width="9.140625" style="1"/>
    <col min="2564" max="2564" width="7.140625" style="1" customWidth="1"/>
    <col min="2565" max="2565" width="10.42578125" style="1" customWidth="1"/>
    <col min="2566" max="2566" width="12.85546875" style="1" customWidth="1"/>
    <col min="2567" max="2567" width="13.140625" style="1" customWidth="1"/>
    <col min="2568" max="2568" width="61" style="1" customWidth="1"/>
    <col min="2569" max="2819" width="9.140625" style="1"/>
    <col min="2820" max="2820" width="7.140625" style="1" customWidth="1"/>
    <col min="2821" max="2821" width="10.42578125" style="1" customWidth="1"/>
    <col min="2822" max="2822" width="12.85546875" style="1" customWidth="1"/>
    <col min="2823" max="2823" width="13.140625" style="1" customWidth="1"/>
    <col min="2824" max="2824" width="61" style="1" customWidth="1"/>
    <col min="2825" max="3075" width="9.140625" style="1"/>
    <col min="3076" max="3076" width="7.140625" style="1" customWidth="1"/>
    <col min="3077" max="3077" width="10.42578125" style="1" customWidth="1"/>
    <col min="3078" max="3078" width="12.85546875" style="1" customWidth="1"/>
    <col min="3079" max="3079" width="13.140625" style="1" customWidth="1"/>
    <col min="3080" max="3080" width="61" style="1" customWidth="1"/>
    <col min="3081" max="3331" width="9.140625" style="1"/>
    <col min="3332" max="3332" width="7.140625" style="1" customWidth="1"/>
    <col min="3333" max="3333" width="10.42578125" style="1" customWidth="1"/>
    <col min="3334" max="3334" width="12.85546875" style="1" customWidth="1"/>
    <col min="3335" max="3335" width="13.140625" style="1" customWidth="1"/>
    <col min="3336" max="3336" width="61" style="1" customWidth="1"/>
    <col min="3337" max="3587" width="9.140625" style="1"/>
    <col min="3588" max="3588" width="7.140625" style="1" customWidth="1"/>
    <col min="3589" max="3589" width="10.42578125" style="1" customWidth="1"/>
    <col min="3590" max="3590" width="12.85546875" style="1" customWidth="1"/>
    <col min="3591" max="3591" width="13.140625" style="1" customWidth="1"/>
    <col min="3592" max="3592" width="61" style="1" customWidth="1"/>
    <col min="3593" max="3843" width="9.140625" style="1"/>
    <col min="3844" max="3844" width="7.140625" style="1" customWidth="1"/>
    <col min="3845" max="3845" width="10.42578125" style="1" customWidth="1"/>
    <col min="3846" max="3846" width="12.85546875" style="1" customWidth="1"/>
    <col min="3847" max="3847" width="13.140625" style="1" customWidth="1"/>
    <col min="3848" max="3848" width="61" style="1" customWidth="1"/>
    <col min="3849" max="4099" width="9.140625" style="1"/>
    <col min="4100" max="4100" width="7.140625" style="1" customWidth="1"/>
    <col min="4101" max="4101" width="10.42578125" style="1" customWidth="1"/>
    <col min="4102" max="4102" width="12.85546875" style="1" customWidth="1"/>
    <col min="4103" max="4103" width="13.140625" style="1" customWidth="1"/>
    <col min="4104" max="4104" width="61" style="1" customWidth="1"/>
    <col min="4105" max="4355" width="9.140625" style="1"/>
    <col min="4356" max="4356" width="7.140625" style="1" customWidth="1"/>
    <col min="4357" max="4357" width="10.42578125" style="1" customWidth="1"/>
    <col min="4358" max="4358" width="12.85546875" style="1" customWidth="1"/>
    <col min="4359" max="4359" width="13.140625" style="1" customWidth="1"/>
    <col min="4360" max="4360" width="61" style="1" customWidth="1"/>
    <col min="4361" max="4611" width="9.140625" style="1"/>
    <col min="4612" max="4612" width="7.140625" style="1" customWidth="1"/>
    <col min="4613" max="4613" width="10.42578125" style="1" customWidth="1"/>
    <col min="4614" max="4614" width="12.85546875" style="1" customWidth="1"/>
    <col min="4615" max="4615" width="13.140625" style="1" customWidth="1"/>
    <col min="4616" max="4616" width="61" style="1" customWidth="1"/>
    <col min="4617" max="4867" width="9.140625" style="1"/>
    <col min="4868" max="4868" width="7.140625" style="1" customWidth="1"/>
    <col min="4869" max="4869" width="10.42578125" style="1" customWidth="1"/>
    <col min="4870" max="4870" width="12.85546875" style="1" customWidth="1"/>
    <col min="4871" max="4871" width="13.140625" style="1" customWidth="1"/>
    <col min="4872" max="4872" width="61" style="1" customWidth="1"/>
    <col min="4873" max="5123" width="9.140625" style="1"/>
    <col min="5124" max="5124" width="7.140625" style="1" customWidth="1"/>
    <col min="5125" max="5125" width="10.42578125" style="1" customWidth="1"/>
    <col min="5126" max="5126" width="12.85546875" style="1" customWidth="1"/>
    <col min="5127" max="5127" width="13.140625" style="1" customWidth="1"/>
    <col min="5128" max="5128" width="61" style="1" customWidth="1"/>
    <col min="5129" max="5379" width="9.140625" style="1"/>
    <col min="5380" max="5380" width="7.140625" style="1" customWidth="1"/>
    <col min="5381" max="5381" width="10.42578125" style="1" customWidth="1"/>
    <col min="5382" max="5382" width="12.85546875" style="1" customWidth="1"/>
    <col min="5383" max="5383" width="13.140625" style="1" customWidth="1"/>
    <col min="5384" max="5384" width="61" style="1" customWidth="1"/>
    <col min="5385" max="5635" width="9.140625" style="1"/>
    <col min="5636" max="5636" width="7.140625" style="1" customWidth="1"/>
    <col min="5637" max="5637" width="10.42578125" style="1" customWidth="1"/>
    <col min="5638" max="5638" width="12.85546875" style="1" customWidth="1"/>
    <col min="5639" max="5639" width="13.140625" style="1" customWidth="1"/>
    <col min="5640" max="5640" width="61" style="1" customWidth="1"/>
    <col min="5641" max="5891" width="9.140625" style="1"/>
    <col min="5892" max="5892" width="7.140625" style="1" customWidth="1"/>
    <col min="5893" max="5893" width="10.42578125" style="1" customWidth="1"/>
    <col min="5894" max="5894" width="12.85546875" style="1" customWidth="1"/>
    <col min="5895" max="5895" width="13.140625" style="1" customWidth="1"/>
    <col min="5896" max="5896" width="61" style="1" customWidth="1"/>
    <col min="5897" max="6147" width="9.140625" style="1"/>
    <col min="6148" max="6148" width="7.140625" style="1" customWidth="1"/>
    <col min="6149" max="6149" width="10.42578125" style="1" customWidth="1"/>
    <col min="6150" max="6150" width="12.85546875" style="1" customWidth="1"/>
    <col min="6151" max="6151" width="13.140625" style="1" customWidth="1"/>
    <col min="6152" max="6152" width="61" style="1" customWidth="1"/>
    <col min="6153" max="6403" width="9.140625" style="1"/>
    <col min="6404" max="6404" width="7.140625" style="1" customWidth="1"/>
    <col min="6405" max="6405" width="10.42578125" style="1" customWidth="1"/>
    <col min="6406" max="6406" width="12.85546875" style="1" customWidth="1"/>
    <col min="6407" max="6407" width="13.140625" style="1" customWidth="1"/>
    <col min="6408" max="6408" width="61" style="1" customWidth="1"/>
    <col min="6409" max="6659" width="9.140625" style="1"/>
    <col min="6660" max="6660" width="7.140625" style="1" customWidth="1"/>
    <col min="6661" max="6661" width="10.42578125" style="1" customWidth="1"/>
    <col min="6662" max="6662" width="12.85546875" style="1" customWidth="1"/>
    <col min="6663" max="6663" width="13.140625" style="1" customWidth="1"/>
    <col min="6664" max="6664" width="61" style="1" customWidth="1"/>
    <col min="6665" max="6915" width="9.140625" style="1"/>
    <col min="6916" max="6916" width="7.140625" style="1" customWidth="1"/>
    <col min="6917" max="6917" width="10.42578125" style="1" customWidth="1"/>
    <col min="6918" max="6918" width="12.85546875" style="1" customWidth="1"/>
    <col min="6919" max="6919" width="13.140625" style="1" customWidth="1"/>
    <col min="6920" max="6920" width="61" style="1" customWidth="1"/>
    <col min="6921" max="7171" width="9.140625" style="1"/>
    <col min="7172" max="7172" width="7.140625" style="1" customWidth="1"/>
    <col min="7173" max="7173" width="10.42578125" style="1" customWidth="1"/>
    <col min="7174" max="7174" width="12.85546875" style="1" customWidth="1"/>
    <col min="7175" max="7175" width="13.140625" style="1" customWidth="1"/>
    <col min="7176" max="7176" width="61" style="1" customWidth="1"/>
    <col min="7177" max="7427" width="9.140625" style="1"/>
    <col min="7428" max="7428" width="7.140625" style="1" customWidth="1"/>
    <col min="7429" max="7429" width="10.42578125" style="1" customWidth="1"/>
    <col min="7430" max="7430" width="12.85546875" style="1" customWidth="1"/>
    <col min="7431" max="7431" width="13.140625" style="1" customWidth="1"/>
    <col min="7432" max="7432" width="61" style="1" customWidth="1"/>
    <col min="7433" max="7683" width="9.140625" style="1"/>
    <col min="7684" max="7684" width="7.140625" style="1" customWidth="1"/>
    <col min="7685" max="7685" width="10.42578125" style="1" customWidth="1"/>
    <col min="7686" max="7686" width="12.85546875" style="1" customWidth="1"/>
    <col min="7687" max="7687" width="13.140625" style="1" customWidth="1"/>
    <col min="7688" max="7688" width="61" style="1" customWidth="1"/>
    <col min="7689" max="7939" width="9.140625" style="1"/>
    <col min="7940" max="7940" width="7.140625" style="1" customWidth="1"/>
    <col min="7941" max="7941" width="10.42578125" style="1" customWidth="1"/>
    <col min="7942" max="7942" width="12.85546875" style="1" customWidth="1"/>
    <col min="7943" max="7943" width="13.140625" style="1" customWidth="1"/>
    <col min="7944" max="7944" width="61" style="1" customWidth="1"/>
    <col min="7945" max="8195" width="9.140625" style="1"/>
    <col min="8196" max="8196" width="7.140625" style="1" customWidth="1"/>
    <col min="8197" max="8197" width="10.42578125" style="1" customWidth="1"/>
    <col min="8198" max="8198" width="12.85546875" style="1" customWidth="1"/>
    <col min="8199" max="8199" width="13.140625" style="1" customWidth="1"/>
    <col min="8200" max="8200" width="61" style="1" customWidth="1"/>
    <col min="8201" max="8451" width="9.140625" style="1"/>
    <col min="8452" max="8452" width="7.140625" style="1" customWidth="1"/>
    <col min="8453" max="8453" width="10.42578125" style="1" customWidth="1"/>
    <col min="8454" max="8454" width="12.85546875" style="1" customWidth="1"/>
    <col min="8455" max="8455" width="13.140625" style="1" customWidth="1"/>
    <col min="8456" max="8456" width="61" style="1" customWidth="1"/>
    <col min="8457" max="8707" width="9.140625" style="1"/>
    <col min="8708" max="8708" width="7.140625" style="1" customWidth="1"/>
    <col min="8709" max="8709" width="10.42578125" style="1" customWidth="1"/>
    <col min="8710" max="8710" width="12.85546875" style="1" customWidth="1"/>
    <col min="8711" max="8711" width="13.140625" style="1" customWidth="1"/>
    <col min="8712" max="8712" width="61" style="1" customWidth="1"/>
    <col min="8713" max="8963" width="9.140625" style="1"/>
    <col min="8964" max="8964" width="7.140625" style="1" customWidth="1"/>
    <col min="8965" max="8965" width="10.42578125" style="1" customWidth="1"/>
    <col min="8966" max="8966" width="12.85546875" style="1" customWidth="1"/>
    <col min="8967" max="8967" width="13.140625" style="1" customWidth="1"/>
    <col min="8968" max="8968" width="61" style="1" customWidth="1"/>
    <col min="8969" max="9219" width="9.140625" style="1"/>
    <col min="9220" max="9220" width="7.140625" style="1" customWidth="1"/>
    <col min="9221" max="9221" width="10.42578125" style="1" customWidth="1"/>
    <col min="9222" max="9222" width="12.85546875" style="1" customWidth="1"/>
    <col min="9223" max="9223" width="13.140625" style="1" customWidth="1"/>
    <col min="9224" max="9224" width="61" style="1" customWidth="1"/>
    <col min="9225" max="9475" width="9.140625" style="1"/>
    <col min="9476" max="9476" width="7.140625" style="1" customWidth="1"/>
    <col min="9477" max="9477" width="10.42578125" style="1" customWidth="1"/>
    <col min="9478" max="9478" width="12.85546875" style="1" customWidth="1"/>
    <col min="9479" max="9479" width="13.140625" style="1" customWidth="1"/>
    <col min="9480" max="9480" width="61" style="1" customWidth="1"/>
    <col min="9481" max="9731" width="9.140625" style="1"/>
    <col min="9732" max="9732" width="7.140625" style="1" customWidth="1"/>
    <col min="9733" max="9733" width="10.42578125" style="1" customWidth="1"/>
    <col min="9734" max="9734" width="12.85546875" style="1" customWidth="1"/>
    <col min="9735" max="9735" width="13.140625" style="1" customWidth="1"/>
    <col min="9736" max="9736" width="61" style="1" customWidth="1"/>
    <col min="9737" max="9987" width="9.140625" style="1"/>
    <col min="9988" max="9988" width="7.140625" style="1" customWidth="1"/>
    <col min="9989" max="9989" width="10.42578125" style="1" customWidth="1"/>
    <col min="9990" max="9990" width="12.85546875" style="1" customWidth="1"/>
    <col min="9991" max="9991" width="13.140625" style="1" customWidth="1"/>
    <col min="9992" max="9992" width="61" style="1" customWidth="1"/>
    <col min="9993" max="10243" width="9.140625" style="1"/>
    <col min="10244" max="10244" width="7.140625" style="1" customWidth="1"/>
    <col min="10245" max="10245" width="10.42578125" style="1" customWidth="1"/>
    <col min="10246" max="10246" width="12.85546875" style="1" customWidth="1"/>
    <col min="10247" max="10247" width="13.140625" style="1" customWidth="1"/>
    <col min="10248" max="10248" width="61" style="1" customWidth="1"/>
    <col min="10249" max="10499" width="9.140625" style="1"/>
    <col min="10500" max="10500" width="7.140625" style="1" customWidth="1"/>
    <col min="10501" max="10501" width="10.42578125" style="1" customWidth="1"/>
    <col min="10502" max="10502" width="12.85546875" style="1" customWidth="1"/>
    <col min="10503" max="10503" width="13.140625" style="1" customWidth="1"/>
    <col min="10504" max="10504" width="61" style="1" customWidth="1"/>
    <col min="10505" max="10755" width="9.140625" style="1"/>
    <col min="10756" max="10756" width="7.140625" style="1" customWidth="1"/>
    <col min="10757" max="10757" width="10.42578125" style="1" customWidth="1"/>
    <col min="10758" max="10758" width="12.85546875" style="1" customWidth="1"/>
    <col min="10759" max="10759" width="13.140625" style="1" customWidth="1"/>
    <col min="10760" max="10760" width="61" style="1" customWidth="1"/>
    <col min="10761" max="11011" width="9.140625" style="1"/>
    <col min="11012" max="11012" width="7.140625" style="1" customWidth="1"/>
    <col min="11013" max="11013" width="10.42578125" style="1" customWidth="1"/>
    <col min="11014" max="11014" width="12.85546875" style="1" customWidth="1"/>
    <col min="11015" max="11015" width="13.140625" style="1" customWidth="1"/>
    <col min="11016" max="11016" width="61" style="1" customWidth="1"/>
    <col min="11017" max="11267" width="9.140625" style="1"/>
    <col min="11268" max="11268" width="7.140625" style="1" customWidth="1"/>
    <col min="11269" max="11269" width="10.42578125" style="1" customWidth="1"/>
    <col min="11270" max="11270" width="12.85546875" style="1" customWidth="1"/>
    <col min="11271" max="11271" width="13.140625" style="1" customWidth="1"/>
    <col min="11272" max="11272" width="61" style="1" customWidth="1"/>
    <col min="11273" max="11523" width="9.140625" style="1"/>
    <col min="11524" max="11524" width="7.140625" style="1" customWidth="1"/>
    <col min="11525" max="11525" width="10.42578125" style="1" customWidth="1"/>
    <col min="11526" max="11526" width="12.85546875" style="1" customWidth="1"/>
    <col min="11527" max="11527" width="13.140625" style="1" customWidth="1"/>
    <col min="11528" max="11528" width="61" style="1" customWidth="1"/>
    <col min="11529" max="11779" width="9.140625" style="1"/>
    <col min="11780" max="11780" width="7.140625" style="1" customWidth="1"/>
    <col min="11781" max="11781" width="10.42578125" style="1" customWidth="1"/>
    <col min="11782" max="11782" width="12.85546875" style="1" customWidth="1"/>
    <col min="11783" max="11783" width="13.140625" style="1" customWidth="1"/>
    <col min="11784" max="11784" width="61" style="1" customWidth="1"/>
    <col min="11785" max="12035" width="9.140625" style="1"/>
    <col min="12036" max="12036" width="7.140625" style="1" customWidth="1"/>
    <col min="12037" max="12037" width="10.42578125" style="1" customWidth="1"/>
    <col min="12038" max="12038" width="12.85546875" style="1" customWidth="1"/>
    <col min="12039" max="12039" width="13.140625" style="1" customWidth="1"/>
    <col min="12040" max="12040" width="61" style="1" customWidth="1"/>
    <col min="12041" max="12291" width="9.140625" style="1"/>
    <col min="12292" max="12292" width="7.140625" style="1" customWidth="1"/>
    <col min="12293" max="12293" width="10.42578125" style="1" customWidth="1"/>
    <col min="12294" max="12294" width="12.85546875" style="1" customWidth="1"/>
    <col min="12295" max="12295" width="13.140625" style="1" customWidth="1"/>
    <col min="12296" max="12296" width="61" style="1" customWidth="1"/>
    <col min="12297" max="12547" width="9.140625" style="1"/>
    <col min="12548" max="12548" width="7.140625" style="1" customWidth="1"/>
    <col min="12549" max="12549" width="10.42578125" style="1" customWidth="1"/>
    <col min="12550" max="12550" width="12.85546875" style="1" customWidth="1"/>
    <col min="12551" max="12551" width="13.140625" style="1" customWidth="1"/>
    <col min="12552" max="12552" width="61" style="1" customWidth="1"/>
    <col min="12553" max="12803" width="9.140625" style="1"/>
    <col min="12804" max="12804" width="7.140625" style="1" customWidth="1"/>
    <col min="12805" max="12805" width="10.42578125" style="1" customWidth="1"/>
    <col min="12806" max="12806" width="12.85546875" style="1" customWidth="1"/>
    <col min="12807" max="12807" width="13.140625" style="1" customWidth="1"/>
    <col min="12808" max="12808" width="61" style="1" customWidth="1"/>
    <col min="12809" max="13059" width="9.140625" style="1"/>
    <col min="13060" max="13060" width="7.140625" style="1" customWidth="1"/>
    <col min="13061" max="13061" width="10.42578125" style="1" customWidth="1"/>
    <col min="13062" max="13062" width="12.85546875" style="1" customWidth="1"/>
    <col min="13063" max="13063" width="13.140625" style="1" customWidth="1"/>
    <col min="13064" max="13064" width="61" style="1" customWidth="1"/>
    <col min="13065" max="13315" width="9.140625" style="1"/>
    <col min="13316" max="13316" width="7.140625" style="1" customWidth="1"/>
    <col min="13317" max="13317" width="10.42578125" style="1" customWidth="1"/>
    <col min="13318" max="13318" width="12.85546875" style="1" customWidth="1"/>
    <col min="13319" max="13319" width="13.140625" style="1" customWidth="1"/>
    <col min="13320" max="13320" width="61" style="1" customWidth="1"/>
    <col min="13321" max="13571" width="9.140625" style="1"/>
    <col min="13572" max="13572" width="7.140625" style="1" customWidth="1"/>
    <col min="13573" max="13573" width="10.42578125" style="1" customWidth="1"/>
    <col min="13574" max="13574" width="12.85546875" style="1" customWidth="1"/>
    <col min="13575" max="13575" width="13.140625" style="1" customWidth="1"/>
    <col min="13576" max="13576" width="61" style="1" customWidth="1"/>
    <col min="13577" max="13827" width="9.140625" style="1"/>
    <col min="13828" max="13828" width="7.140625" style="1" customWidth="1"/>
    <col min="13829" max="13829" width="10.42578125" style="1" customWidth="1"/>
    <col min="13830" max="13830" width="12.85546875" style="1" customWidth="1"/>
    <col min="13831" max="13831" width="13.140625" style="1" customWidth="1"/>
    <col min="13832" max="13832" width="61" style="1" customWidth="1"/>
    <col min="13833" max="14083" width="9.140625" style="1"/>
    <col min="14084" max="14084" width="7.140625" style="1" customWidth="1"/>
    <col min="14085" max="14085" width="10.42578125" style="1" customWidth="1"/>
    <col min="14086" max="14086" width="12.85546875" style="1" customWidth="1"/>
    <col min="14087" max="14087" width="13.140625" style="1" customWidth="1"/>
    <col min="14088" max="14088" width="61" style="1" customWidth="1"/>
    <col min="14089" max="14339" width="9.140625" style="1"/>
    <col min="14340" max="14340" width="7.140625" style="1" customWidth="1"/>
    <col min="14341" max="14341" width="10.42578125" style="1" customWidth="1"/>
    <col min="14342" max="14342" width="12.85546875" style="1" customWidth="1"/>
    <col min="14343" max="14343" width="13.140625" style="1" customWidth="1"/>
    <col min="14344" max="14344" width="61" style="1" customWidth="1"/>
    <col min="14345" max="14595" width="9.140625" style="1"/>
    <col min="14596" max="14596" width="7.140625" style="1" customWidth="1"/>
    <col min="14597" max="14597" width="10.42578125" style="1" customWidth="1"/>
    <col min="14598" max="14598" width="12.85546875" style="1" customWidth="1"/>
    <col min="14599" max="14599" width="13.140625" style="1" customWidth="1"/>
    <col min="14600" max="14600" width="61" style="1" customWidth="1"/>
    <col min="14601" max="14851" width="9.140625" style="1"/>
    <col min="14852" max="14852" width="7.140625" style="1" customWidth="1"/>
    <col min="14853" max="14853" width="10.42578125" style="1" customWidth="1"/>
    <col min="14854" max="14854" width="12.85546875" style="1" customWidth="1"/>
    <col min="14855" max="14855" width="13.140625" style="1" customWidth="1"/>
    <col min="14856" max="14856" width="61" style="1" customWidth="1"/>
    <col min="14857" max="15107" width="9.140625" style="1"/>
    <col min="15108" max="15108" width="7.140625" style="1" customWidth="1"/>
    <col min="15109" max="15109" width="10.42578125" style="1" customWidth="1"/>
    <col min="15110" max="15110" width="12.85546875" style="1" customWidth="1"/>
    <col min="15111" max="15111" width="13.140625" style="1" customWidth="1"/>
    <col min="15112" max="15112" width="61" style="1" customWidth="1"/>
    <col min="15113" max="15363" width="9.140625" style="1"/>
    <col min="15364" max="15364" width="7.140625" style="1" customWidth="1"/>
    <col min="15365" max="15365" width="10.42578125" style="1" customWidth="1"/>
    <col min="15366" max="15366" width="12.85546875" style="1" customWidth="1"/>
    <col min="15367" max="15367" width="13.140625" style="1" customWidth="1"/>
    <col min="15368" max="15368" width="61" style="1" customWidth="1"/>
    <col min="15369" max="15619" width="9.140625" style="1"/>
    <col min="15620" max="15620" width="7.140625" style="1" customWidth="1"/>
    <col min="15621" max="15621" width="10.42578125" style="1" customWidth="1"/>
    <col min="15622" max="15622" width="12.85546875" style="1" customWidth="1"/>
    <col min="15623" max="15623" width="13.140625" style="1" customWidth="1"/>
    <col min="15624" max="15624" width="61" style="1" customWidth="1"/>
    <col min="15625" max="15875" width="9.140625" style="1"/>
    <col min="15876" max="15876" width="7.140625" style="1" customWidth="1"/>
    <col min="15877" max="15877" width="10.42578125" style="1" customWidth="1"/>
    <col min="15878" max="15878" width="12.85546875" style="1" customWidth="1"/>
    <col min="15879" max="15879" width="13.140625" style="1" customWidth="1"/>
    <col min="15880" max="15880" width="61" style="1" customWidth="1"/>
    <col min="15881" max="16131" width="9.140625" style="1"/>
    <col min="16132" max="16132" width="7.140625" style="1" customWidth="1"/>
    <col min="16133" max="16133" width="10.42578125" style="1" customWidth="1"/>
    <col min="16134" max="16134" width="12.85546875" style="1" customWidth="1"/>
    <col min="16135" max="16135" width="13.140625" style="1" customWidth="1"/>
    <col min="16136" max="16136" width="61" style="1" customWidth="1"/>
    <col min="16137" max="16384" width="9.140625" style="1"/>
  </cols>
  <sheetData>
    <row r="1" spans="1:8" ht="60" customHeight="1">
      <c r="B1" s="1969"/>
      <c r="C1" s="1969"/>
      <c r="D1" s="1969"/>
      <c r="E1" s="1969"/>
      <c r="F1" s="1970"/>
      <c r="G1" s="183"/>
      <c r="H1" s="112" t="s">
        <v>1056</v>
      </c>
    </row>
    <row r="2" spans="1:8" ht="51.75" customHeight="1" thickBot="1">
      <c r="A2" s="1919" t="s">
        <v>156</v>
      </c>
      <c r="B2" s="1919"/>
      <c r="C2" s="1919"/>
      <c r="D2" s="1919"/>
      <c r="E2" s="1919"/>
      <c r="F2" s="1919"/>
      <c r="G2" s="1919"/>
      <c r="H2" s="1919"/>
    </row>
    <row r="3" spans="1:8" ht="36" customHeight="1" thickBot="1">
      <c r="A3" s="1883" t="s">
        <v>15</v>
      </c>
      <c r="B3" s="1920" t="s">
        <v>0</v>
      </c>
      <c r="C3" s="1920" t="s">
        <v>1</v>
      </c>
      <c r="D3" s="1922" t="s">
        <v>5</v>
      </c>
      <c r="E3" s="1975" t="s">
        <v>272</v>
      </c>
      <c r="F3" s="1971" t="s">
        <v>2</v>
      </c>
      <c r="G3" s="1972"/>
      <c r="H3" s="1973" t="s">
        <v>144</v>
      </c>
    </row>
    <row r="4" spans="1:8" ht="24" customHeight="1" thickBot="1">
      <c r="A4" s="1883"/>
      <c r="B4" s="1920"/>
      <c r="C4" s="1920"/>
      <c r="D4" s="1922"/>
      <c r="E4" s="1976"/>
      <c r="F4" s="181" t="s">
        <v>270</v>
      </c>
      <c r="G4" s="180" t="s">
        <v>19</v>
      </c>
      <c r="H4" s="1974"/>
    </row>
    <row r="5" spans="1:8" ht="62.25" customHeight="1" thickBot="1">
      <c r="A5" s="338">
        <v>1</v>
      </c>
      <c r="B5" s="304" t="s">
        <v>116</v>
      </c>
      <c r="C5" s="304" t="s">
        <v>118</v>
      </c>
      <c r="D5" s="300">
        <v>2360</v>
      </c>
      <c r="E5" s="297">
        <f>SUM(F5:G5)</f>
        <v>2000000</v>
      </c>
      <c r="F5" s="298">
        <v>2000000</v>
      </c>
      <c r="G5" s="299">
        <v>0</v>
      </c>
      <c r="H5" s="310" t="s">
        <v>173</v>
      </c>
    </row>
    <row r="6" spans="1:8" ht="16.5" customHeight="1" thickBot="1">
      <c r="A6" s="307">
        <v>2</v>
      </c>
      <c r="B6" s="39" t="s">
        <v>7</v>
      </c>
      <c r="C6" s="39" t="s">
        <v>119</v>
      </c>
      <c r="D6" s="301">
        <v>2830</v>
      </c>
      <c r="E6" s="297">
        <f>SUM(F6:G6)</f>
        <v>62574751</v>
      </c>
      <c r="F6" s="298">
        <v>62574751</v>
      </c>
      <c r="G6" s="295">
        <v>0</v>
      </c>
      <c r="H6" s="36" t="s">
        <v>157</v>
      </c>
    </row>
    <row r="7" spans="1:8" ht="18.75" customHeight="1" thickBot="1">
      <c r="A7" s="307">
        <v>3</v>
      </c>
      <c r="B7" s="39" t="s">
        <v>121</v>
      </c>
      <c r="C7" s="39" t="s">
        <v>122</v>
      </c>
      <c r="D7" s="301">
        <v>2360</v>
      </c>
      <c r="E7" s="297">
        <f t="shared" ref="E7:E21" si="0">SUM(F7:G7)</f>
        <v>100000</v>
      </c>
      <c r="F7" s="298">
        <v>100000</v>
      </c>
      <c r="G7" s="295">
        <v>0</v>
      </c>
      <c r="H7" s="36" t="s">
        <v>158</v>
      </c>
    </row>
    <row r="8" spans="1:8" ht="46.5" customHeight="1" thickBot="1">
      <c r="A8" s="307">
        <v>4</v>
      </c>
      <c r="B8" s="39" t="s">
        <v>4</v>
      </c>
      <c r="C8" s="39" t="s">
        <v>271</v>
      </c>
      <c r="D8" s="301">
        <v>6230</v>
      </c>
      <c r="E8" s="297">
        <f t="shared" si="0"/>
        <v>250000</v>
      </c>
      <c r="F8" s="298">
        <v>0</v>
      </c>
      <c r="G8" s="295">
        <v>250000</v>
      </c>
      <c r="H8" s="36" t="s">
        <v>276</v>
      </c>
    </row>
    <row r="9" spans="1:8" ht="16.5" customHeight="1" thickBot="1">
      <c r="A9" s="307">
        <v>5</v>
      </c>
      <c r="B9" s="305">
        <v>754</v>
      </c>
      <c r="C9" s="305">
        <v>75415</v>
      </c>
      <c r="D9" s="302">
        <v>2360</v>
      </c>
      <c r="E9" s="297">
        <f t="shared" si="0"/>
        <v>360000</v>
      </c>
      <c r="F9" s="308">
        <v>360000</v>
      </c>
      <c r="G9" s="296">
        <v>0</v>
      </c>
      <c r="H9" s="311" t="s">
        <v>159</v>
      </c>
    </row>
    <row r="10" spans="1:8" ht="29.25" thickBot="1">
      <c r="A10" s="1961">
        <v>6</v>
      </c>
      <c r="B10" s="1963" t="s">
        <v>127</v>
      </c>
      <c r="C10" s="326" t="s">
        <v>128</v>
      </c>
      <c r="D10" s="327">
        <v>2360</v>
      </c>
      <c r="E10" s="297">
        <f t="shared" si="0"/>
        <v>100000</v>
      </c>
      <c r="F10" s="323">
        <v>100000</v>
      </c>
      <c r="G10" s="328">
        <v>0</v>
      </c>
      <c r="H10" s="329" t="s">
        <v>573</v>
      </c>
    </row>
    <row r="11" spans="1:8" ht="56.25" customHeight="1" thickBot="1">
      <c r="A11" s="1962"/>
      <c r="B11" s="1964"/>
      <c r="C11" s="330" t="s">
        <v>129</v>
      </c>
      <c r="D11" s="331">
        <v>2360</v>
      </c>
      <c r="E11" s="297">
        <f t="shared" si="0"/>
        <v>220200</v>
      </c>
      <c r="F11" s="325">
        <v>220200</v>
      </c>
      <c r="G11" s="332">
        <v>0</v>
      </c>
      <c r="H11" s="333" t="s">
        <v>574</v>
      </c>
    </row>
    <row r="12" spans="1:8" ht="34.5" customHeight="1" thickBot="1">
      <c r="A12" s="1961">
        <v>7</v>
      </c>
      <c r="B12" s="1963" t="s">
        <v>130</v>
      </c>
      <c r="C12" s="326" t="s">
        <v>131</v>
      </c>
      <c r="D12" s="327">
        <v>2360</v>
      </c>
      <c r="E12" s="297">
        <f t="shared" si="0"/>
        <v>150000</v>
      </c>
      <c r="F12" s="323">
        <v>150000</v>
      </c>
      <c r="G12" s="328">
        <v>0</v>
      </c>
      <c r="H12" s="334" t="s">
        <v>575</v>
      </c>
    </row>
    <row r="13" spans="1:8" ht="41.25" customHeight="1" thickBot="1">
      <c r="A13" s="1962"/>
      <c r="B13" s="1964"/>
      <c r="C13" s="330" t="s">
        <v>132</v>
      </c>
      <c r="D13" s="331">
        <v>2360</v>
      </c>
      <c r="E13" s="297">
        <f t="shared" si="0"/>
        <v>1180000</v>
      </c>
      <c r="F13" s="325">
        <v>1180000</v>
      </c>
      <c r="G13" s="332">
        <v>0</v>
      </c>
      <c r="H13" s="333" t="s">
        <v>576</v>
      </c>
    </row>
    <row r="14" spans="1:8" ht="63" customHeight="1" thickBot="1">
      <c r="A14" s="307">
        <v>8</v>
      </c>
      <c r="B14" s="306" t="s">
        <v>133</v>
      </c>
      <c r="C14" s="306" t="s">
        <v>134</v>
      </c>
      <c r="D14" s="303">
        <v>2360</v>
      </c>
      <c r="E14" s="295">
        <f t="shared" si="0"/>
        <v>1127991</v>
      </c>
      <c r="F14" s="309">
        <v>1127991</v>
      </c>
      <c r="G14" s="37">
        <v>0</v>
      </c>
      <c r="H14" s="312" t="s">
        <v>577</v>
      </c>
    </row>
    <row r="15" spans="1:8" ht="46.5" customHeight="1" thickBot="1">
      <c r="A15" s="1965">
        <v>9</v>
      </c>
      <c r="B15" s="1967" t="s">
        <v>174</v>
      </c>
      <c r="C15" s="306" t="s">
        <v>175</v>
      </c>
      <c r="D15" s="303">
        <v>2360</v>
      </c>
      <c r="E15" s="297">
        <f t="shared" si="0"/>
        <v>90000</v>
      </c>
      <c r="F15" s="309">
        <v>90000</v>
      </c>
      <c r="G15" s="37">
        <v>0</v>
      </c>
      <c r="H15" s="312" t="s">
        <v>578</v>
      </c>
    </row>
    <row r="16" spans="1:8" ht="32.25" customHeight="1" thickBot="1">
      <c r="A16" s="1966"/>
      <c r="B16" s="1968"/>
      <c r="C16" s="306" t="s">
        <v>176</v>
      </c>
      <c r="D16" s="303">
        <v>2360</v>
      </c>
      <c r="E16" s="297">
        <f t="shared" si="0"/>
        <v>1206550</v>
      </c>
      <c r="F16" s="309">
        <v>1206550</v>
      </c>
      <c r="G16" s="37">
        <v>0</v>
      </c>
      <c r="H16" s="312" t="s">
        <v>183</v>
      </c>
    </row>
    <row r="17" spans="1:8" ht="30" customHeight="1" thickBot="1">
      <c r="A17" s="335">
        <v>10</v>
      </c>
      <c r="B17" s="1219" t="s">
        <v>135</v>
      </c>
      <c r="C17" s="306" t="s">
        <v>136</v>
      </c>
      <c r="D17" s="303">
        <v>2360</v>
      </c>
      <c r="E17" s="297">
        <f t="shared" si="0"/>
        <v>5000</v>
      </c>
      <c r="F17" s="309">
        <v>5000</v>
      </c>
      <c r="G17" s="37">
        <v>0</v>
      </c>
      <c r="H17" s="312" t="s">
        <v>277</v>
      </c>
    </row>
    <row r="18" spans="1:8" ht="23.25" customHeight="1" thickBot="1">
      <c r="A18" s="1965">
        <v>11</v>
      </c>
      <c r="B18" s="1967" t="s">
        <v>10</v>
      </c>
      <c r="C18" s="306" t="s">
        <v>137</v>
      </c>
      <c r="D18" s="303">
        <v>2360</v>
      </c>
      <c r="E18" s="297">
        <f t="shared" si="0"/>
        <v>500000</v>
      </c>
      <c r="F18" s="309">
        <v>500000</v>
      </c>
      <c r="G18" s="37">
        <v>0</v>
      </c>
      <c r="H18" s="312" t="s">
        <v>160</v>
      </c>
    </row>
    <row r="19" spans="1:8" ht="45" customHeight="1" thickBot="1">
      <c r="A19" s="1966"/>
      <c r="B19" s="1968"/>
      <c r="C19" s="306" t="s">
        <v>138</v>
      </c>
      <c r="D19" s="303">
        <v>2720</v>
      </c>
      <c r="E19" s="297">
        <f t="shared" si="0"/>
        <v>4000000</v>
      </c>
      <c r="F19" s="309">
        <v>4000000</v>
      </c>
      <c r="G19" s="37">
        <v>0</v>
      </c>
      <c r="H19" s="312" t="s">
        <v>161</v>
      </c>
    </row>
    <row r="20" spans="1:8" ht="26.25" customHeight="1">
      <c r="A20" s="1961">
        <v>12</v>
      </c>
      <c r="B20" s="1963" t="s">
        <v>139</v>
      </c>
      <c r="C20" s="1963" t="s">
        <v>140</v>
      </c>
      <c r="D20" s="321">
        <v>2360</v>
      </c>
      <c r="E20" s="1217">
        <f t="shared" si="0"/>
        <v>160000</v>
      </c>
      <c r="F20" s="323">
        <v>160000</v>
      </c>
      <c r="G20" s="322">
        <v>0</v>
      </c>
      <c r="H20" s="1959" t="s">
        <v>162</v>
      </c>
    </row>
    <row r="21" spans="1:8" ht="23.25" customHeight="1" thickBot="1">
      <c r="A21" s="1962"/>
      <c r="B21" s="1964"/>
      <c r="C21" s="1964"/>
      <c r="D21" s="1231">
        <v>2820</v>
      </c>
      <c r="E21" s="299">
        <f t="shared" si="0"/>
        <v>2386091</v>
      </c>
      <c r="F21" s="1232">
        <v>2386091</v>
      </c>
      <c r="G21" s="324">
        <v>0</v>
      </c>
      <c r="H21" s="1960"/>
    </row>
    <row r="22" spans="1:8" ht="35.25" customHeight="1" thickBot="1">
      <c r="A22" s="1880" t="s">
        <v>22</v>
      </c>
      <c r="B22" s="1881"/>
      <c r="C22" s="1881"/>
      <c r="D22" s="1882"/>
      <c r="E22" s="336">
        <f>SUM(F22:G22)</f>
        <v>76410583</v>
      </c>
      <c r="F22" s="293">
        <f>SUM(F5:F21)</f>
        <v>76160583</v>
      </c>
      <c r="G22" s="294">
        <f>SUM(G5:G21)</f>
        <v>250000</v>
      </c>
      <c r="H22" s="337"/>
    </row>
    <row r="23" spans="1:8">
      <c r="B23" s="110"/>
      <c r="C23" s="110"/>
      <c r="D23" s="110"/>
      <c r="E23" s="110"/>
      <c r="F23" s="111"/>
      <c r="G23" s="111"/>
      <c r="H23" s="117"/>
    </row>
    <row r="24" spans="1:8">
      <c r="B24" s="110"/>
      <c r="C24" s="110"/>
      <c r="D24" s="110"/>
      <c r="E24" s="197"/>
      <c r="F24" s="111"/>
      <c r="G24" s="111"/>
      <c r="H24" s="117"/>
    </row>
    <row r="25" spans="1:8">
      <c r="B25" s="110"/>
      <c r="C25" s="110"/>
      <c r="D25" s="110"/>
      <c r="E25" s="110"/>
      <c r="F25" s="111"/>
      <c r="G25" s="111"/>
      <c r="H25" s="117"/>
    </row>
    <row r="26" spans="1:8">
      <c r="B26" s="110"/>
      <c r="C26" s="110"/>
      <c r="D26" s="110"/>
      <c r="E26" s="110"/>
      <c r="F26" s="111"/>
      <c r="G26" s="111"/>
      <c r="H26" s="117"/>
    </row>
    <row r="27" spans="1:8">
      <c r="B27" s="110"/>
      <c r="C27" s="110"/>
      <c r="D27" s="110"/>
      <c r="E27" s="110"/>
      <c r="F27" s="111"/>
      <c r="G27" s="111"/>
      <c r="H27" s="117"/>
    </row>
    <row r="28" spans="1:8">
      <c r="B28" s="110"/>
      <c r="C28" s="110"/>
      <c r="D28" s="110"/>
      <c r="E28" s="110"/>
      <c r="F28" s="111"/>
      <c r="G28" s="111"/>
      <c r="H28" s="117"/>
    </row>
    <row r="29" spans="1:8">
      <c r="B29" s="110"/>
      <c r="C29" s="110"/>
      <c r="D29" s="110"/>
      <c r="E29" s="110"/>
      <c r="F29" s="111"/>
      <c r="G29" s="111"/>
      <c r="H29" s="117"/>
    </row>
    <row r="30" spans="1:8">
      <c r="B30" s="110"/>
      <c r="C30" s="110"/>
      <c r="D30" s="110"/>
      <c r="E30" s="110"/>
      <c r="F30" s="111"/>
      <c r="G30" s="111"/>
      <c r="H30" s="117"/>
    </row>
    <row r="31" spans="1:8">
      <c r="B31" s="110"/>
      <c r="C31" s="110"/>
      <c r="D31" s="110"/>
      <c r="E31" s="110"/>
      <c r="F31" s="111"/>
      <c r="G31" s="111"/>
      <c r="H31" s="117"/>
    </row>
    <row r="32" spans="1:8">
      <c r="B32" s="110"/>
      <c r="C32" s="110"/>
      <c r="D32" s="110"/>
      <c r="E32" s="110"/>
      <c r="F32" s="111"/>
      <c r="G32" s="111"/>
      <c r="H32" s="117"/>
    </row>
    <row r="33" spans="2:8">
      <c r="B33" s="110"/>
      <c r="C33" s="110"/>
      <c r="D33" s="110"/>
      <c r="E33" s="110"/>
      <c r="F33" s="111"/>
      <c r="G33" s="111"/>
      <c r="H33" s="117"/>
    </row>
    <row r="34" spans="2:8">
      <c r="B34" s="110"/>
      <c r="C34" s="110"/>
      <c r="D34" s="110"/>
      <c r="E34" s="110"/>
      <c r="F34" s="111"/>
      <c r="G34" s="111"/>
      <c r="H34" s="117"/>
    </row>
    <row r="35" spans="2:8">
      <c r="B35" s="110"/>
      <c r="C35" s="110"/>
      <c r="D35" s="110"/>
      <c r="E35" s="110"/>
      <c r="F35" s="111"/>
      <c r="G35" s="111"/>
      <c r="H35" s="117"/>
    </row>
    <row r="36" spans="2:8">
      <c r="B36" s="110"/>
      <c r="C36" s="110"/>
      <c r="D36" s="110"/>
      <c r="E36" s="110"/>
      <c r="F36" s="111"/>
      <c r="G36" s="111"/>
      <c r="H36" s="117"/>
    </row>
    <row r="37" spans="2:8">
      <c r="B37" s="110"/>
      <c r="C37" s="118"/>
      <c r="D37" s="118"/>
      <c r="E37" s="118"/>
      <c r="F37" s="119"/>
      <c r="G37" s="119"/>
    </row>
    <row r="38" spans="2:8">
      <c r="B38" s="110"/>
      <c r="C38" s="118"/>
      <c r="D38" s="118"/>
      <c r="E38" s="118"/>
      <c r="F38" s="119"/>
      <c r="G38" s="119"/>
    </row>
    <row r="39" spans="2:8">
      <c r="B39" s="110"/>
      <c r="C39" s="118"/>
      <c r="D39" s="118"/>
      <c r="E39" s="118"/>
      <c r="F39" s="119"/>
      <c r="G39" s="119"/>
    </row>
    <row r="40" spans="2:8">
      <c r="B40" s="110"/>
      <c r="C40" s="118"/>
      <c r="D40" s="118"/>
      <c r="E40" s="118"/>
      <c r="F40" s="119"/>
      <c r="G40" s="119"/>
    </row>
    <row r="41" spans="2:8">
      <c r="B41" s="110"/>
      <c r="C41" s="118"/>
      <c r="D41" s="118"/>
      <c r="E41" s="118"/>
      <c r="F41" s="119"/>
      <c r="G41" s="119"/>
    </row>
    <row r="42" spans="2:8">
      <c r="B42" s="110"/>
      <c r="C42" s="118"/>
      <c r="D42" s="118"/>
      <c r="E42" s="118"/>
      <c r="F42" s="119"/>
      <c r="G42" s="119"/>
    </row>
    <row r="43" spans="2:8">
      <c r="B43" s="110"/>
      <c r="C43" s="118"/>
      <c r="D43" s="118"/>
      <c r="E43" s="118"/>
      <c r="F43" s="119"/>
      <c r="G43" s="119"/>
    </row>
    <row r="44" spans="2:8">
      <c r="B44" s="110"/>
      <c r="C44" s="118"/>
      <c r="D44" s="118"/>
      <c r="E44" s="118"/>
      <c r="F44" s="119"/>
      <c r="G44" s="119"/>
    </row>
    <row r="45" spans="2:8">
      <c r="B45" s="110"/>
      <c r="C45" s="118"/>
      <c r="D45" s="118"/>
      <c r="E45" s="118"/>
      <c r="F45" s="119"/>
      <c r="G45" s="119"/>
    </row>
    <row r="46" spans="2:8">
      <c r="B46" s="110"/>
      <c r="C46" s="118"/>
      <c r="D46" s="118"/>
      <c r="E46" s="118"/>
      <c r="F46" s="119"/>
      <c r="G46" s="119"/>
    </row>
    <row r="47" spans="2:8">
      <c r="B47" s="110"/>
      <c r="C47" s="118"/>
      <c r="D47" s="118"/>
      <c r="E47" s="118"/>
      <c r="F47" s="119"/>
      <c r="G47" s="119"/>
    </row>
    <row r="48" spans="2:8">
      <c r="B48" s="110"/>
      <c r="C48" s="118"/>
      <c r="D48" s="118"/>
      <c r="E48" s="118"/>
      <c r="F48" s="119"/>
      <c r="G48" s="119"/>
    </row>
    <row r="49" spans="2:7">
      <c r="B49" s="110"/>
      <c r="C49" s="118"/>
      <c r="D49" s="118"/>
      <c r="E49" s="118"/>
      <c r="F49" s="119"/>
      <c r="G49" s="119"/>
    </row>
    <row r="50" spans="2:7">
      <c r="B50" s="110"/>
      <c r="C50" s="118"/>
      <c r="D50" s="118"/>
      <c r="E50" s="118"/>
      <c r="F50" s="119"/>
      <c r="G50" s="119"/>
    </row>
    <row r="51" spans="2:7">
      <c r="B51" s="110"/>
      <c r="C51" s="118"/>
      <c r="D51" s="118"/>
      <c r="E51" s="118"/>
      <c r="F51" s="119"/>
      <c r="G51" s="119"/>
    </row>
    <row r="52" spans="2:7">
      <c r="B52" s="110"/>
      <c r="C52" s="118"/>
      <c r="D52" s="118"/>
      <c r="E52" s="118"/>
      <c r="F52" s="119"/>
      <c r="G52" s="119"/>
    </row>
    <row r="53" spans="2:7">
      <c r="B53" s="110"/>
      <c r="C53" s="118"/>
      <c r="D53" s="118"/>
      <c r="E53" s="118"/>
      <c r="F53" s="119"/>
      <c r="G53" s="119"/>
    </row>
    <row r="54" spans="2:7">
      <c r="B54" s="110"/>
      <c r="C54" s="118"/>
      <c r="D54" s="118"/>
      <c r="E54" s="118"/>
      <c r="F54" s="119"/>
      <c r="G54" s="119"/>
    </row>
    <row r="55" spans="2:7">
      <c r="B55" s="110"/>
      <c r="C55" s="118"/>
      <c r="D55" s="118"/>
      <c r="E55" s="118"/>
      <c r="F55" s="119"/>
      <c r="G55" s="119"/>
    </row>
    <row r="56" spans="2:7">
      <c r="B56" s="110"/>
      <c r="C56" s="118"/>
      <c r="D56" s="118"/>
      <c r="E56" s="118"/>
      <c r="F56" s="119"/>
      <c r="G56" s="119"/>
    </row>
    <row r="57" spans="2:7">
      <c r="B57" s="110"/>
      <c r="C57" s="118"/>
      <c r="D57" s="118"/>
      <c r="E57" s="118"/>
      <c r="F57" s="119"/>
      <c r="G57" s="119"/>
    </row>
    <row r="58" spans="2:7">
      <c r="B58" s="110"/>
      <c r="C58" s="118"/>
      <c r="D58" s="118"/>
      <c r="E58" s="118"/>
      <c r="F58" s="119"/>
      <c r="G58" s="119"/>
    </row>
    <row r="59" spans="2:7">
      <c r="B59" s="110"/>
      <c r="C59" s="118"/>
      <c r="D59" s="118"/>
      <c r="E59" s="118"/>
      <c r="F59" s="119"/>
      <c r="G59" s="119"/>
    </row>
    <row r="60" spans="2:7">
      <c r="B60" s="110"/>
      <c r="C60" s="118"/>
      <c r="D60" s="118"/>
      <c r="E60" s="118"/>
      <c r="F60" s="119"/>
      <c r="G60" s="119"/>
    </row>
    <row r="61" spans="2:7">
      <c r="B61" s="110"/>
      <c r="C61" s="118"/>
      <c r="D61" s="118"/>
      <c r="E61" s="118"/>
      <c r="F61" s="119"/>
      <c r="G61" s="119"/>
    </row>
    <row r="62" spans="2:7">
      <c r="B62" s="110"/>
      <c r="C62" s="118"/>
      <c r="D62" s="118"/>
      <c r="E62" s="118"/>
      <c r="F62" s="119"/>
      <c r="G62" s="119"/>
    </row>
    <row r="63" spans="2:7">
      <c r="B63" s="110"/>
      <c r="C63" s="118"/>
      <c r="D63" s="118"/>
      <c r="E63" s="118"/>
      <c r="F63" s="119"/>
      <c r="G63" s="119"/>
    </row>
    <row r="64" spans="2:7">
      <c r="B64" s="110"/>
      <c r="C64" s="118"/>
      <c r="D64" s="118"/>
      <c r="E64" s="118"/>
      <c r="F64" s="119"/>
      <c r="G64" s="119"/>
    </row>
    <row r="65" spans="2:7">
      <c r="B65" s="110"/>
      <c r="C65" s="118"/>
      <c r="D65" s="118"/>
      <c r="E65" s="118"/>
      <c r="F65" s="119"/>
      <c r="G65" s="119"/>
    </row>
    <row r="66" spans="2:7">
      <c r="B66" s="110"/>
      <c r="C66" s="118"/>
      <c r="D66" s="118"/>
      <c r="E66" s="118"/>
      <c r="F66" s="119"/>
      <c r="G66" s="119"/>
    </row>
    <row r="67" spans="2:7">
      <c r="B67" s="110"/>
      <c r="C67" s="118"/>
      <c r="D67" s="118"/>
      <c r="E67" s="118"/>
      <c r="F67" s="119"/>
      <c r="G67" s="119"/>
    </row>
    <row r="68" spans="2:7">
      <c r="B68" s="110"/>
      <c r="C68" s="118"/>
      <c r="D68" s="118"/>
      <c r="E68" s="118"/>
      <c r="F68" s="119"/>
      <c r="G68" s="119"/>
    </row>
    <row r="69" spans="2:7">
      <c r="B69" s="110"/>
      <c r="C69" s="118"/>
      <c r="D69" s="118"/>
      <c r="E69" s="118"/>
      <c r="F69" s="120"/>
      <c r="G69" s="120"/>
    </row>
    <row r="70" spans="2:7">
      <c r="B70" s="110"/>
      <c r="C70" s="118"/>
      <c r="D70" s="118"/>
      <c r="E70" s="118"/>
      <c r="F70" s="120"/>
      <c r="G70" s="120"/>
    </row>
    <row r="71" spans="2:7">
      <c r="B71" s="110"/>
      <c r="C71" s="118"/>
      <c r="D71" s="118"/>
      <c r="E71" s="118"/>
      <c r="F71" s="120"/>
      <c r="G71" s="120"/>
    </row>
    <row r="72" spans="2:7">
      <c r="B72" s="110"/>
      <c r="C72" s="121"/>
      <c r="D72" s="121"/>
      <c r="E72" s="121"/>
      <c r="F72" s="120"/>
      <c r="G72" s="120"/>
    </row>
    <row r="73" spans="2:7">
      <c r="B73" s="110"/>
      <c r="C73" s="121"/>
      <c r="D73" s="121"/>
      <c r="E73" s="121"/>
      <c r="F73" s="120"/>
      <c r="G73" s="120"/>
    </row>
    <row r="74" spans="2:7">
      <c r="B74" s="110"/>
      <c r="C74" s="121"/>
      <c r="D74" s="121"/>
      <c r="E74" s="121"/>
      <c r="F74" s="120"/>
      <c r="G74" s="120"/>
    </row>
    <row r="75" spans="2:7">
      <c r="B75" s="110"/>
      <c r="C75" s="121"/>
      <c r="D75" s="121"/>
      <c r="E75" s="121"/>
      <c r="F75" s="120"/>
      <c r="G75" s="120"/>
    </row>
    <row r="76" spans="2:7">
      <c r="B76" s="110"/>
      <c r="C76" s="121"/>
      <c r="D76" s="121"/>
      <c r="E76" s="121"/>
      <c r="F76" s="120"/>
      <c r="G76" s="120"/>
    </row>
    <row r="77" spans="2:7">
      <c r="B77" s="110"/>
      <c r="C77" s="121"/>
      <c r="D77" s="121"/>
      <c r="E77" s="121"/>
      <c r="F77" s="120"/>
      <c r="G77" s="120"/>
    </row>
    <row r="78" spans="2:7">
      <c r="B78" s="110"/>
      <c r="C78" s="121"/>
      <c r="D78" s="121"/>
      <c r="E78" s="121"/>
      <c r="F78" s="120"/>
      <c r="G78" s="120"/>
    </row>
    <row r="79" spans="2:7">
      <c r="B79" s="110"/>
      <c r="C79" s="121"/>
      <c r="D79" s="121"/>
      <c r="E79" s="121"/>
      <c r="F79" s="120"/>
      <c r="G79" s="120"/>
    </row>
    <row r="80" spans="2:7">
      <c r="B80" s="110"/>
      <c r="C80" s="121"/>
      <c r="D80" s="121"/>
      <c r="E80" s="121"/>
      <c r="F80" s="120"/>
      <c r="G80" s="120"/>
    </row>
    <row r="81" spans="2:7">
      <c r="B81" s="110"/>
      <c r="C81" s="121"/>
      <c r="D81" s="121"/>
      <c r="E81" s="121"/>
      <c r="F81" s="120"/>
      <c r="G81" s="120"/>
    </row>
    <row r="82" spans="2:7">
      <c r="B82" s="110"/>
      <c r="C82" s="121"/>
      <c r="D82" s="121"/>
      <c r="E82" s="121"/>
      <c r="F82" s="120"/>
      <c r="G82" s="120"/>
    </row>
    <row r="83" spans="2:7">
      <c r="B83" s="110"/>
      <c r="C83" s="121"/>
      <c r="D83" s="121"/>
      <c r="E83" s="121"/>
      <c r="F83" s="120"/>
      <c r="G83" s="120"/>
    </row>
    <row r="84" spans="2:7">
      <c r="B84" s="110"/>
      <c r="C84" s="121"/>
      <c r="D84" s="121"/>
      <c r="E84" s="121"/>
      <c r="F84" s="120"/>
      <c r="G84" s="120"/>
    </row>
    <row r="85" spans="2:7">
      <c r="B85" s="110"/>
      <c r="C85" s="121"/>
      <c r="D85" s="121"/>
      <c r="E85" s="121"/>
      <c r="F85" s="120"/>
      <c r="G85" s="120"/>
    </row>
    <row r="86" spans="2:7">
      <c r="B86" s="110"/>
      <c r="C86" s="121"/>
      <c r="D86" s="121"/>
      <c r="E86" s="121"/>
      <c r="F86" s="120"/>
      <c r="G86" s="120"/>
    </row>
    <row r="87" spans="2:7">
      <c r="B87" s="110"/>
      <c r="C87" s="121"/>
      <c r="D87" s="121"/>
      <c r="E87" s="121"/>
      <c r="F87" s="120"/>
      <c r="G87" s="120"/>
    </row>
    <row r="88" spans="2:7">
      <c r="B88" s="110"/>
      <c r="C88" s="121"/>
      <c r="D88" s="121"/>
      <c r="E88" s="121"/>
      <c r="F88" s="120"/>
      <c r="G88" s="120"/>
    </row>
    <row r="89" spans="2:7">
      <c r="B89" s="110"/>
      <c r="C89" s="121"/>
      <c r="D89" s="121"/>
      <c r="E89" s="121"/>
      <c r="F89" s="120"/>
      <c r="G89" s="120"/>
    </row>
    <row r="90" spans="2:7">
      <c r="B90" s="110"/>
      <c r="C90" s="121"/>
      <c r="D90" s="121"/>
      <c r="E90" s="121"/>
      <c r="F90" s="120"/>
      <c r="G90" s="120"/>
    </row>
    <row r="91" spans="2:7">
      <c r="B91" s="110"/>
      <c r="C91" s="121"/>
      <c r="D91" s="121"/>
      <c r="E91" s="121"/>
      <c r="F91" s="120"/>
      <c r="G91" s="120"/>
    </row>
    <row r="92" spans="2:7">
      <c r="B92" s="110"/>
      <c r="C92" s="121"/>
      <c r="D92" s="121"/>
      <c r="E92" s="121"/>
      <c r="F92" s="120"/>
      <c r="G92" s="120"/>
    </row>
    <row r="93" spans="2:7">
      <c r="B93" s="110"/>
      <c r="C93" s="121"/>
      <c r="D93" s="121"/>
      <c r="E93" s="121"/>
      <c r="F93" s="120"/>
      <c r="G93" s="120"/>
    </row>
    <row r="94" spans="2:7">
      <c r="B94" s="110"/>
      <c r="C94" s="121"/>
      <c r="D94" s="121"/>
      <c r="E94" s="121"/>
      <c r="F94" s="120"/>
      <c r="G94" s="120"/>
    </row>
    <row r="95" spans="2:7">
      <c r="B95" s="110"/>
      <c r="C95" s="121"/>
      <c r="D95" s="121"/>
      <c r="E95" s="121"/>
      <c r="F95" s="120"/>
      <c r="G95" s="120"/>
    </row>
    <row r="96" spans="2:7">
      <c r="B96" s="122"/>
      <c r="C96" s="123"/>
      <c r="D96" s="123"/>
      <c r="E96" s="123"/>
    </row>
    <row r="97" spans="2:5">
      <c r="B97" s="122"/>
      <c r="C97" s="123"/>
      <c r="D97" s="123"/>
      <c r="E97" s="123"/>
    </row>
    <row r="98" spans="2:5">
      <c r="B98" s="122"/>
      <c r="C98" s="123"/>
      <c r="D98" s="123"/>
      <c r="E98" s="123"/>
    </row>
    <row r="99" spans="2:5">
      <c r="B99" s="122"/>
      <c r="C99" s="123"/>
      <c r="D99" s="123"/>
      <c r="E99" s="123"/>
    </row>
    <row r="100" spans="2:5">
      <c r="B100" s="122"/>
      <c r="C100" s="123"/>
      <c r="D100" s="123"/>
      <c r="E100" s="123"/>
    </row>
    <row r="101" spans="2:5">
      <c r="B101" s="122"/>
      <c r="C101" s="123"/>
      <c r="D101" s="123"/>
      <c r="E101" s="123"/>
    </row>
    <row r="102" spans="2:5">
      <c r="B102" s="122"/>
      <c r="C102" s="123"/>
      <c r="D102" s="123"/>
      <c r="E102" s="123"/>
    </row>
    <row r="103" spans="2:5">
      <c r="B103" s="122"/>
      <c r="C103" s="123"/>
      <c r="D103" s="123"/>
      <c r="E103" s="123"/>
    </row>
    <row r="104" spans="2:5">
      <c r="B104" s="122"/>
      <c r="C104" s="123"/>
      <c r="D104" s="123"/>
      <c r="E104" s="123"/>
    </row>
    <row r="105" spans="2:5">
      <c r="B105" s="122"/>
      <c r="C105" s="123"/>
      <c r="D105" s="123"/>
      <c r="E105" s="123"/>
    </row>
    <row r="106" spans="2:5">
      <c r="B106" s="122"/>
      <c r="C106" s="123"/>
      <c r="D106" s="123"/>
      <c r="E106" s="123"/>
    </row>
    <row r="107" spans="2:5">
      <c r="B107" s="122"/>
      <c r="C107" s="123"/>
      <c r="D107" s="123"/>
      <c r="E107" s="123"/>
    </row>
    <row r="108" spans="2:5">
      <c r="B108" s="122"/>
      <c r="C108" s="123"/>
      <c r="D108" s="123"/>
      <c r="E108" s="123"/>
    </row>
    <row r="109" spans="2:5">
      <c r="B109" s="122"/>
      <c r="C109" s="123"/>
      <c r="D109" s="123"/>
      <c r="E109" s="123"/>
    </row>
    <row r="110" spans="2:5">
      <c r="B110" s="122"/>
      <c r="C110" s="123"/>
      <c r="D110" s="123"/>
      <c r="E110" s="123"/>
    </row>
    <row r="111" spans="2:5">
      <c r="B111" s="122"/>
      <c r="C111" s="123"/>
      <c r="D111" s="123"/>
      <c r="E111" s="123"/>
    </row>
    <row r="112" spans="2:5">
      <c r="B112" s="123"/>
      <c r="C112" s="123"/>
      <c r="D112" s="123"/>
      <c r="E112" s="123"/>
    </row>
    <row r="113" spans="2:5">
      <c r="B113" s="123"/>
      <c r="C113" s="123"/>
      <c r="D113" s="123"/>
      <c r="E113" s="123"/>
    </row>
    <row r="114" spans="2:5">
      <c r="B114" s="123"/>
      <c r="C114" s="123"/>
      <c r="D114" s="123"/>
      <c r="E114" s="123"/>
    </row>
    <row r="115" spans="2:5">
      <c r="B115" s="123"/>
      <c r="C115" s="123"/>
      <c r="D115" s="123"/>
      <c r="E115" s="123"/>
    </row>
    <row r="116" spans="2:5">
      <c r="B116" s="123"/>
      <c r="C116" s="123"/>
      <c r="D116" s="123"/>
      <c r="E116" s="123"/>
    </row>
    <row r="117" spans="2:5">
      <c r="B117" s="123"/>
      <c r="C117" s="123"/>
      <c r="D117" s="123"/>
      <c r="E117" s="123"/>
    </row>
    <row r="118" spans="2:5">
      <c r="B118" s="123"/>
      <c r="C118" s="123"/>
      <c r="D118" s="123"/>
      <c r="E118" s="123"/>
    </row>
    <row r="119" spans="2:5">
      <c r="B119" s="123"/>
      <c r="C119" s="123"/>
      <c r="D119" s="123"/>
      <c r="E119" s="123"/>
    </row>
    <row r="120" spans="2:5">
      <c r="B120" s="123"/>
      <c r="C120" s="123"/>
      <c r="D120" s="123"/>
      <c r="E120" s="123"/>
    </row>
    <row r="121" spans="2:5">
      <c r="B121" s="123"/>
      <c r="C121" s="123"/>
      <c r="D121" s="123"/>
      <c r="E121" s="123"/>
    </row>
    <row r="122" spans="2:5">
      <c r="B122" s="123"/>
      <c r="C122" s="123"/>
      <c r="D122" s="123"/>
      <c r="E122" s="123"/>
    </row>
    <row r="123" spans="2:5">
      <c r="B123" s="123"/>
      <c r="C123" s="123"/>
      <c r="D123" s="123"/>
      <c r="E123" s="123"/>
    </row>
    <row r="124" spans="2:5">
      <c r="B124" s="123"/>
      <c r="C124" s="123"/>
      <c r="D124" s="123"/>
      <c r="E124" s="123"/>
    </row>
    <row r="125" spans="2:5">
      <c r="B125" s="123"/>
      <c r="C125" s="123"/>
      <c r="D125" s="123"/>
      <c r="E125" s="123"/>
    </row>
    <row r="126" spans="2:5">
      <c r="B126" s="123"/>
      <c r="C126" s="123"/>
      <c r="D126" s="123"/>
      <c r="E126" s="123"/>
    </row>
    <row r="127" spans="2:5">
      <c r="B127" s="123"/>
      <c r="C127" s="123"/>
      <c r="D127" s="123"/>
      <c r="E127" s="123"/>
    </row>
    <row r="128" spans="2:5">
      <c r="B128" s="123"/>
      <c r="C128" s="123"/>
      <c r="D128" s="123"/>
      <c r="E128" s="123"/>
    </row>
    <row r="129" spans="2:5">
      <c r="B129" s="123"/>
      <c r="C129" s="123"/>
      <c r="D129" s="123"/>
      <c r="E129" s="123"/>
    </row>
    <row r="130" spans="2:5">
      <c r="B130" s="123"/>
      <c r="C130" s="123"/>
      <c r="D130" s="123"/>
      <c r="E130" s="123"/>
    </row>
    <row r="131" spans="2:5">
      <c r="B131" s="123"/>
      <c r="C131" s="123"/>
      <c r="D131" s="123"/>
      <c r="E131" s="123"/>
    </row>
    <row r="132" spans="2:5">
      <c r="B132" s="123"/>
      <c r="C132" s="123"/>
      <c r="D132" s="123"/>
      <c r="E132" s="123"/>
    </row>
    <row r="133" spans="2:5">
      <c r="B133" s="123"/>
      <c r="C133" s="123"/>
      <c r="D133" s="123"/>
      <c r="E133" s="123"/>
    </row>
    <row r="134" spans="2:5">
      <c r="B134" s="123"/>
      <c r="C134" s="123"/>
      <c r="D134" s="123"/>
      <c r="E134" s="123"/>
    </row>
    <row r="135" spans="2:5">
      <c r="B135" s="123"/>
      <c r="C135" s="123"/>
      <c r="D135" s="123"/>
      <c r="E135" s="123"/>
    </row>
    <row r="136" spans="2:5">
      <c r="B136" s="123"/>
      <c r="C136" s="123"/>
      <c r="D136" s="123"/>
      <c r="E136" s="123"/>
    </row>
    <row r="137" spans="2:5">
      <c r="B137" s="123"/>
      <c r="C137" s="123"/>
      <c r="D137" s="123"/>
      <c r="E137" s="123"/>
    </row>
    <row r="138" spans="2:5">
      <c r="B138" s="123"/>
      <c r="C138" s="123"/>
      <c r="D138" s="123"/>
      <c r="E138" s="123"/>
    </row>
    <row r="139" spans="2:5">
      <c r="B139" s="123"/>
      <c r="C139" s="123"/>
      <c r="D139" s="123"/>
      <c r="E139" s="123"/>
    </row>
    <row r="140" spans="2:5">
      <c r="B140" s="123"/>
      <c r="C140" s="123"/>
      <c r="D140" s="123"/>
      <c r="E140" s="123"/>
    </row>
    <row r="141" spans="2:5">
      <c r="B141" s="123"/>
      <c r="C141" s="123"/>
      <c r="D141" s="123"/>
      <c r="E141" s="123"/>
    </row>
    <row r="142" spans="2:5">
      <c r="B142" s="123"/>
      <c r="C142" s="123"/>
      <c r="D142" s="123"/>
      <c r="E142" s="123"/>
    </row>
    <row r="143" spans="2:5">
      <c r="B143" s="123"/>
      <c r="C143" s="123"/>
      <c r="D143" s="123"/>
      <c r="E143" s="123"/>
    </row>
    <row r="144" spans="2:5">
      <c r="B144" s="123"/>
      <c r="C144" s="123"/>
      <c r="D144" s="123"/>
      <c r="E144" s="123"/>
    </row>
    <row r="145" spans="2:5">
      <c r="B145" s="123"/>
      <c r="C145" s="123"/>
      <c r="D145" s="123"/>
      <c r="E145" s="123"/>
    </row>
    <row r="146" spans="2:5">
      <c r="B146" s="123"/>
      <c r="C146" s="123"/>
      <c r="D146" s="123"/>
      <c r="E146" s="123"/>
    </row>
    <row r="147" spans="2:5">
      <c r="B147" s="123"/>
      <c r="C147" s="123"/>
      <c r="D147" s="123"/>
      <c r="E147" s="123"/>
    </row>
    <row r="148" spans="2:5">
      <c r="B148" s="123"/>
      <c r="C148" s="123"/>
      <c r="D148" s="123"/>
      <c r="E148" s="123"/>
    </row>
  </sheetData>
  <mergeCells count="22">
    <mergeCell ref="A22:D22"/>
    <mergeCell ref="A18:A19"/>
    <mergeCell ref="B18:B19"/>
    <mergeCell ref="A20:A21"/>
    <mergeCell ref="B20:B21"/>
    <mergeCell ref="C20:C21"/>
    <mergeCell ref="B1:F1"/>
    <mergeCell ref="A2:H2"/>
    <mergeCell ref="A10:A11"/>
    <mergeCell ref="B10:B11"/>
    <mergeCell ref="A3:A4"/>
    <mergeCell ref="B3:B4"/>
    <mergeCell ref="C3:C4"/>
    <mergeCell ref="D3:D4"/>
    <mergeCell ref="F3:G3"/>
    <mergeCell ref="H3:H4"/>
    <mergeCell ref="E3:E4"/>
    <mergeCell ref="H20:H21"/>
    <mergeCell ref="A12:A13"/>
    <mergeCell ref="B12:B13"/>
    <mergeCell ref="A15:A16"/>
    <mergeCell ref="B15:B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Strona &amp;P z &amp;N</oddFooter>
  </headerFooter>
  <rowBreaks count="1" manualBreakCount="1">
    <brk id="14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H24"/>
  <sheetViews>
    <sheetView view="pageBreakPreview" zoomScaleNormal="100" zoomScaleSheetLayoutView="100" workbookViewId="0">
      <selection activeCell="F1" sqref="F1:H1"/>
    </sheetView>
  </sheetViews>
  <sheetFormatPr defaultRowHeight="12.75"/>
  <cols>
    <col min="1" max="1" width="10.7109375" style="1" customWidth="1"/>
    <col min="2" max="2" width="10.5703125" style="1" customWidth="1"/>
    <col min="3" max="3" width="17.140625" style="1" customWidth="1"/>
    <col min="4" max="4" width="12.140625" style="1" customWidth="1"/>
    <col min="5" max="5" width="15.85546875" style="1" customWidth="1"/>
    <col min="6" max="7" width="19" style="1" customWidth="1"/>
    <col min="8" max="8" width="52.5703125" style="1" customWidth="1"/>
    <col min="9" max="258" width="9.140625" style="1"/>
    <col min="259" max="259" width="10.7109375" style="1" customWidth="1"/>
    <col min="260" max="260" width="10.5703125" style="1" customWidth="1"/>
    <col min="261" max="261" width="10.28515625" style="1" customWidth="1"/>
    <col min="262" max="262" width="13.28515625" style="1" customWidth="1"/>
    <col min="263" max="263" width="13.42578125" style="1" customWidth="1"/>
    <col min="264" max="264" width="54.42578125" style="1" customWidth="1"/>
    <col min="265" max="514" width="9.140625" style="1"/>
    <col min="515" max="515" width="10.7109375" style="1" customWidth="1"/>
    <col min="516" max="516" width="10.5703125" style="1" customWidth="1"/>
    <col min="517" max="517" width="10.28515625" style="1" customWidth="1"/>
    <col min="518" max="518" width="13.28515625" style="1" customWidth="1"/>
    <col min="519" max="519" width="13.42578125" style="1" customWidth="1"/>
    <col min="520" max="520" width="54.42578125" style="1" customWidth="1"/>
    <col min="521" max="770" width="9.140625" style="1"/>
    <col min="771" max="771" width="10.7109375" style="1" customWidth="1"/>
    <col min="772" max="772" width="10.5703125" style="1" customWidth="1"/>
    <col min="773" max="773" width="10.28515625" style="1" customWidth="1"/>
    <col min="774" max="774" width="13.28515625" style="1" customWidth="1"/>
    <col min="775" max="775" width="13.42578125" style="1" customWidth="1"/>
    <col min="776" max="776" width="54.42578125" style="1" customWidth="1"/>
    <col min="777" max="1026" width="9.140625" style="1"/>
    <col min="1027" max="1027" width="10.7109375" style="1" customWidth="1"/>
    <col min="1028" max="1028" width="10.5703125" style="1" customWidth="1"/>
    <col min="1029" max="1029" width="10.28515625" style="1" customWidth="1"/>
    <col min="1030" max="1030" width="13.28515625" style="1" customWidth="1"/>
    <col min="1031" max="1031" width="13.42578125" style="1" customWidth="1"/>
    <col min="1032" max="1032" width="54.42578125" style="1" customWidth="1"/>
    <col min="1033" max="1282" width="9.140625" style="1"/>
    <col min="1283" max="1283" width="10.7109375" style="1" customWidth="1"/>
    <col min="1284" max="1284" width="10.5703125" style="1" customWidth="1"/>
    <col min="1285" max="1285" width="10.28515625" style="1" customWidth="1"/>
    <col min="1286" max="1286" width="13.28515625" style="1" customWidth="1"/>
    <col min="1287" max="1287" width="13.42578125" style="1" customWidth="1"/>
    <col min="1288" max="1288" width="54.42578125" style="1" customWidth="1"/>
    <col min="1289" max="1538" width="9.140625" style="1"/>
    <col min="1539" max="1539" width="10.7109375" style="1" customWidth="1"/>
    <col min="1540" max="1540" width="10.5703125" style="1" customWidth="1"/>
    <col min="1541" max="1541" width="10.28515625" style="1" customWidth="1"/>
    <col min="1542" max="1542" width="13.28515625" style="1" customWidth="1"/>
    <col min="1543" max="1543" width="13.42578125" style="1" customWidth="1"/>
    <col min="1544" max="1544" width="54.42578125" style="1" customWidth="1"/>
    <col min="1545" max="1794" width="9.140625" style="1"/>
    <col min="1795" max="1795" width="10.7109375" style="1" customWidth="1"/>
    <col min="1796" max="1796" width="10.5703125" style="1" customWidth="1"/>
    <col min="1797" max="1797" width="10.28515625" style="1" customWidth="1"/>
    <col min="1798" max="1798" width="13.28515625" style="1" customWidth="1"/>
    <col min="1799" max="1799" width="13.42578125" style="1" customWidth="1"/>
    <col min="1800" max="1800" width="54.42578125" style="1" customWidth="1"/>
    <col min="1801" max="2050" width="9.140625" style="1"/>
    <col min="2051" max="2051" width="10.7109375" style="1" customWidth="1"/>
    <col min="2052" max="2052" width="10.5703125" style="1" customWidth="1"/>
    <col min="2053" max="2053" width="10.28515625" style="1" customWidth="1"/>
    <col min="2054" max="2054" width="13.28515625" style="1" customWidth="1"/>
    <col min="2055" max="2055" width="13.42578125" style="1" customWidth="1"/>
    <col min="2056" max="2056" width="54.42578125" style="1" customWidth="1"/>
    <col min="2057" max="2306" width="9.140625" style="1"/>
    <col min="2307" max="2307" width="10.7109375" style="1" customWidth="1"/>
    <col min="2308" max="2308" width="10.5703125" style="1" customWidth="1"/>
    <col min="2309" max="2309" width="10.28515625" style="1" customWidth="1"/>
    <col min="2310" max="2310" width="13.28515625" style="1" customWidth="1"/>
    <col min="2311" max="2311" width="13.42578125" style="1" customWidth="1"/>
    <col min="2312" max="2312" width="54.42578125" style="1" customWidth="1"/>
    <col min="2313" max="2562" width="9.140625" style="1"/>
    <col min="2563" max="2563" width="10.7109375" style="1" customWidth="1"/>
    <col min="2564" max="2564" width="10.5703125" style="1" customWidth="1"/>
    <col min="2565" max="2565" width="10.28515625" style="1" customWidth="1"/>
    <col min="2566" max="2566" width="13.28515625" style="1" customWidth="1"/>
    <col min="2567" max="2567" width="13.42578125" style="1" customWidth="1"/>
    <col min="2568" max="2568" width="54.42578125" style="1" customWidth="1"/>
    <col min="2569" max="2818" width="9.140625" style="1"/>
    <col min="2819" max="2819" width="10.7109375" style="1" customWidth="1"/>
    <col min="2820" max="2820" width="10.5703125" style="1" customWidth="1"/>
    <col min="2821" max="2821" width="10.28515625" style="1" customWidth="1"/>
    <col min="2822" max="2822" width="13.28515625" style="1" customWidth="1"/>
    <col min="2823" max="2823" width="13.42578125" style="1" customWidth="1"/>
    <col min="2824" max="2824" width="54.42578125" style="1" customWidth="1"/>
    <col min="2825" max="3074" width="9.140625" style="1"/>
    <col min="3075" max="3075" width="10.7109375" style="1" customWidth="1"/>
    <col min="3076" max="3076" width="10.5703125" style="1" customWidth="1"/>
    <col min="3077" max="3077" width="10.28515625" style="1" customWidth="1"/>
    <col min="3078" max="3078" width="13.28515625" style="1" customWidth="1"/>
    <col min="3079" max="3079" width="13.42578125" style="1" customWidth="1"/>
    <col min="3080" max="3080" width="54.42578125" style="1" customWidth="1"/>
    <col min="3081" max="3330" width="9.140625" style="1"/>
    <col min="3331" max="3331" width="10.7109375" style="1" customWidth="1"/>
    <col min="3332" max="3332" width="10.5703125" style="1" customWidth="1"/>
    <col min="3333" max="3333" width="10.28515625" style="1" customWidth="1"/>
    <col min="3334" max="3334" width="13.28515625" style="1" customWidth="1"/>
    <col min="3335" max="3335" width="13.42578125" style="1" customWidth="1"/>
    <col min="3336" max="3336" width="54.42578125" style="1" customWidth="1"/>
    <col min="3337" max="3586" width="9.140625" style="1"/>
    <col min="3587" max="3587" width="10.7109375" style="1" customWidth="1"/>
    <col min="3588" max="3588" width="10.5703125" style="1" customWidth="1"/>
    <col min="3589" max="3589" width="10.28515625" style="1" customWidth="1"/>
    <col min="3590" max="3590" width="13.28515625" style="1" customWidth="1"/>
    <col min="3591" max="3591" width="13.42578125" style="1" customWidth="1"/>
    <col min="3592" max="3592" width="54.42578125" style="1" customWidth="1"/>
    <col min="3593" max="3842" width="9.140625" style="1"/>
    <col min="3843" max="3843" width="10.7109375" style="1" customWidth="1"/>
    <col min="3844" max="3844" width="10.5703125" style="1" customWidth="1"/>
    <col min="3845" max="3845" width="10.28515625" style="1" customWidth="1"/>
    <col min="3846" max="3846" width="13.28515625" style="1" customWidth="1"/>
    <col min="3847" max="3847" width="13.42578125" style="1" customWidth="1"/>
    <col min="3848" max="3848" width="54.42578125" style="1" customWidth="1"/>
    <col min="3849" max="4098" width="9.140625" style="1"/>
    <col min="4099" max="4099" width="10.7109375" style="1" customWidth="1"/>
    <col min="4100" max="4100" width="10.5703125" style="1" customWidth="1"/>
    <col min="4101" max="4101" width="10.28515625" style="1" customWidth="1"/>
    <col min="4102" max="4102" width="13.28515625" style="1" customWidth="1"/>
    <col min="4103" max="4103" width="13.42578125" style="1" customWidth="1"/>
    <col min="4104" max="4104" width="54.42578125" style="1" customWidth="1"/>
    <col min="4105" max="4354" width="9.140625" style="1"/>
    <col min="4355" max="4355" width="10.7109375" style="1" customWidth="1"/>
    <col min="4356" max="4356" width="10.5703125" style="1" customWidth="1"/>
    <col min="4357" max="4357" width="10.28515625" style="1" customWidth="1"/>
    <col min="4358" max="4358" width="13.28515625" style="1" customWidth="1"/>
    <col min="4359" max="4359" width="13.42578125" style="1" customWidth="1"/>
    <col min="4360" max="4360" width="54.42578125" style="1" customWidth="1"/>
    <col min="4361" max="4610" width="9.140625" style="1"/>
    <col min="4611" max="4611" width="10.7109375" style="1" customWidth="1"/>
    <col min="4612" max="4612" width="10.5703125" style="1" customWidth="1"/>
    <col min="4613" max="4613" width="10.28515625" style="1" customWidth="1"/>
    <col min="4614" max="4614" width="13.28515625" style="1" customWidth="1"/>
    <col min="4615" max="4615" width="13.42578125" style="1" customWidth="1"/>
    <col min="4616" max="4616" width="54.42578125" style="1" customWidth="1"/>
    <col min="4617" max="4866" width="9.140625" style="1"/>
    <col min="4867" max="4867" width="10.7109375" style="1" customWidth="1"/>
    <col min="4868" max="4868" width="10.5703125" style="1" customWidth="1"/>
    <col min="4869" max="4869" width="10.28515625" style="1" customWidth="1"/>
    <col min="4870" max="4870" width="13.28515625" style="1" customWidth="1"/>
    <col min="4871" max="4871" width="13.42578125" style="1" customWidth="1"/>
    <col min="4872" max="4872" width="54.42578125" style="1" customWidth="1"/>
    <col min="4873" max="5122" width="9.140625" style="1"/>
    <col min="5123" max="5123" width="10.7109375" style="1" customWidth="1"/>
    <col min="5124" max="5124" width="10.5703125" style="1" customWidth="1"/>
    <col min="5125" max="5125" width="10.28515625" style="1" customWidth="1"/>
    <col min="5126" max="5126" width="13.28515625" style="1" customWidth="1"/>
    <col min="5127" max="5127" width="13.42578125" style="1" customWidth="1"/>
    <col min="5128" max="5128" width="54.42578125" style="1" customWidth="1"/>
    <col min="5129" max="5378" width="9.140625" style="1"/>
    <col min="5379" max="5379" width="10.7109375" style="1" customWidth="1"/>
    <col min="5380" max="5380" width="10.5703125" style="1" customWidth="1"/>
    <col min="5381" max="5381" width="10.28515625" style="1" customWidth="1"/>
    <col min="5382" max="5382" width="13.28515625" style="1" customWidth="1"/>
    <col min="5383" max="5383" width="13.42578125" style="1" customWidth="1"/>
    <col min="5384" max="5384" width="54.42578125" style="1" customWidth="1"/>
    <col min="5385" max="5634" width="9.140625" style="1"/>
    <col min="5635" max="5635" width="10.7109375" style="1" customWidth="1"/>
    <col min="5636" max="5636" width="10.5703125" style="1" customWidth="1"/>
    <col min="5637" max="5637" width="10.28515625" style="1" customWidth="1"/>
    <col min="5638" max="5638" width="13.28515625" style="1" customWidth="1"/>
    <col min="5639" max="5639" width="13.42578125" style="1" customWidth="1"/>
    <col min="5640" max="5640" width="54.42578125" style="1" customWidth="1"/>
    <col min="5641" max="5890" width="9.140625" style="1"/>
    <col min="5891" max="5891" width="10.7109375" style="1" customWidth="1"/>
    <col min="5892" max="5892" width="10.5703125" style="1" customWidth="1"/>
    <col min="5893" max="5893" width="10.28515625" style="1" customWidth="1"/>
    <col min="5894" max="5894" width="13.28515625" style="1" customWidth="1"/>
    <col min="5895" max="5895" width="13.42578125" style="1" customWidth="1"/>
    <col min="5896" max="5896" width="54.42578125" style="1" customWidth="1"/>
    <col min="5897" max="6146" width="9.140625" style="1"/>
    <col min="6147" max="6147" width="10.7109375" style="1" customWidth="1"/>
    <col min="6148" max="6148" width="10.5703125" style="1" customWidth="1"/>
    <col min="6149" max="6149" width="10.28515625" style="1" customWidth="1"/>
    <col min="6150" max="6150" width="13.28515625" style="1" customWidth="1"/>
    <col min="6151" max="6151" width="13.42578125" style="1" customWidth="1"/>
    <col min="6152" max="6152" width="54.42578125" style="1" customWidth="1"/>
    <col min="6153" max="6402" width="9.140625" style="1"/>
    <col min="6403" max="6403" width="10.7109375" style="1" customWidth="1"/>
    <col min="6404" max="6404" width="10.5703125" style="1" customWidth="1"/>
    <col min="6405" max="6405" width="10.28515625" style="1" customWidth="1"/>
    <col min="6406" max="6406" width="13.28515625" style="1" customWidth="1"/>
    <col min="6407" max="6407" width="13.42578125" style="1" customWidth="1"/>
    <col min="6408" max="6408" width="54.42578125" style="1" customWidth="1"/>
    <col min="6409" max="6658" width="9.140625" style="1"/>
    <col min="6659" max="6659" width="10.7109375" style="1" customWidth="1"/>
    <col min="6660" max="6660" width="10.5703125" style="1" customWidth="1"/>
    <col min="6661" max="6661" width="10.28515625" style="1" customWidth="1"/>
    <col min="6662" max="6662" width="13.28515625" style="1" customWidth="1"/>
    <col min="6663" max="6663" width="13.42578125" style="1" customWidth="1"/>
    <col min="6664" max="6664" width="54.42578125" style="1" customWidth="1"/>
    <col min="6665" max="6914" width="9.140625" style="1"/>
    <col min="6915" max="6915" width="10.7109375" style="1" customWidth="1"/>
    <col min="6916" max="6916" width="10.5703125" style="1" customWidth="1"/>
    <col min="6917" max="6917" width="10.28515625" style="1" customWidth="1"/>
    <col min="6918" max="6918" width="13.28515625" style="1" customWidth="1"/>
    <col min="6919" max="6919" width="13.42578125" style="1" customWidth="1"/>
    <col min="6920" max="6920" width="54.42578125" style="1" customWidth="1"/>
    <col min="6921" max="7170" width="9.140625" style="1"/>
    <col min="7171" max="7171" width="10.7109375" style="1" customWidth="1"/>
    <col min="7172" max="7172" width="10.5703125" style="1" customWidth="1"/>
    <col min="7173" max="7173" width="10.28515625" style="1" customWidth="1"/>
    <col min="7174" max="7174" width="13.28515625" style="1" customWidth="1"/>
    <col min="7175" max="7175" width="13.42578125" style="1" customWidth="1"/>
    <col min="7176" max="7176" width="54.42578125" style="1" customWidth="1"/>
    <col min="7177" max="7426" width="9.140625" style="1"/>
    <col min="7427" max="7427" width="10.7109375" style="1" customWidth="1"/>
    <col min="7428" max="7428" width="10.5703125" style="1" customWidth="1"/>
    <col min="7429" max="7429" width="10.28515625" style="1" customWidth="1"/>
    <col min="7430" max="7430" width="13.28515625" style="1" customWidth="1"/>
    <col min="7431" max="7431" width="13.42578125" style="1" customWidth="1"/>
    <col min="7432" max="7432" width="54.42578125" style="1" customWidth="1"/>
    <col min="7433" max="7682" width="9.140625" style="1"/>
    <col min="7683" max="7683" width="10.7109375" style="1" customWidth="1"/>
    <col min="7684" max="7684" width="10.5703125" style="1" customWidth="1"/>
    <col min="7685" max="7685" width="10.28515625" style="1" customWidth="1"/>
    <col min="7686" max="7686" width="13.28515625" style="1" customWidth="1"/>
    <col min="7687" max="7687" width="13.42578125" style="1" customWidth="1"/>
    <col min="7688" max="7688" width="54.42578125" style="1" customWidth="1"/>
    <col min="7689" max="7938" width="9.140625" style="1"/>
    <col min="7939" max="7939" width="10.7109375" style="1" customWidth="1"/>
    <col min="7940" max="7940" width="10.5703125" style="1" customWidth="1"/>
    <col min="7941" max="7941" width="10.28515625" style="1" customWidth="1"/>
    <col min="7942" max="7942" width="13.28515625" style="1" customWidth="1"/>
    <col min="7943" max="7943" width="13.42578125" style="1" customWidth="1"/>
    <col min="7944" max="7944" width="54.42578125" style="1" customWidth="1"/>
    <col min="7945" max="8194" width="9.140625" style="1"/>
    <col min="8195" max="8195" width="10.7109375" style="1" customWidth="1"/>
    <col min="8196" max="8196" width="10.5703125" style="1" customWidth="1"/>
    <col min="8197" max="8197" width="10.28515625" style="1" customWidth="1"/>
    <col min="8198" max="8198" width="13.28515625" style="1" customWidth="1"/>
    <col min="8199" max="8199" width="13.42578125" style="1" customWidth="1"/>
    <col min="8200" max="8200" width="54.42578125" style="1" customWidth="1"/>
    <col min="8201" max="8450" width="9.140625" style="1"/>
    <col min="8451" max="8451" width="10.7109375" style="1" customWidth="1"/>
    <col min="8452" max="8452" width="10.5703125" style="1" customWidth="1"/>
    <col min="8453" max="8453" width="10.28515625" style="1" customWidth="1"/>
    <col min="8454" max="8454" width="13.28515625" style="1" customWidth="1"/>
    <col min="8455" max="8455" width="13.42578125" style="1" customWidth="1"/>
    <col min="8456" max="8456" width="54.42578125" style="1" customWidth="1"/>
    <col min="8457" max="8706" width="9.140625" style="1"/>
    <col min="8707" max="8707" width="10.7109375" style="1" customWidth="1"/>
    <col min="8708" max="8708" width="10.5703125" style="1" customWidth="1"/>
    <col min="8709" max="8709" width="10.28515625" style="1" customWidth="1"/>
    <col min="8710" max="8710" width="13.28515625" style="1" customWidth="1"/>
    <col min="8711" max="8711" width="13.42578125" style="1" customWidth="1"/>
    <col min="8712" max="8712" width="54.42578125" style="1" customWidth="1"/>
    <col min="8713" max="8962" width="9.140625" style="1"/>
    <col min="8963" max="8963" width="10.7109375" style="1" customWidth="1"/>
    <col min="8964" max="8964" width="10.5703125" style="1" customWidth="1"/>
    <col min="8965" max="8965" width="10.28515625" style="1" customWidth="1"/>
    <col min="8966" max="8966" width="13.28515625" style="1" customWidth="1"/>
    <col min="8967" max="8967" width="13.42578125" style="1" customWidth="1"/>
    <col min="8968" max="8968" width="54.42578125" style="1" customWidth="1"/>
    <col min="8969" max="9218" width="9.140625" style="1"/>
    <col min="9219" max="9219" width="10.7109375" style="1" customWidth="1"/>
    <col min="9220" max="9220" width="10.5703125" style="1" customWidth="1"/>
    <col min="9221" max="9221" width="10.28515625" style="1" customWidth="1"/>
    <col min="9222" max="9222" width="13.28515625" style="1" customWidth="1"/>
    <col min="9223" max="9223" width="13.42578125" style="1" customWidth="1"/>
    <col min="9224" max="9224" width="54.42578125" style="1" customWidth="1"/>
    <col min="9225" max="9474" width="9.140625" style="1"/>
    <col min="9475" max="9475" width="10.7109375" style="1" customWidth="1"/>
    <col min="9476" max="9476" width="10.5703125" style="1" customWidth="1"/>
    <col min="9477" max="9477" width="10.28515625" style="1" customWidth="1"/>
    <col min="9478" max="9478" width="13.28515625" style="1" customWidth="1"/>
    <col min="9479" max="9479" width="13.42578125" style="1" customWidth="1"/>
    <col min="9480" max="9480" width="54.42578125" style="1" customWidth="1"/>
    <col min="9481" max="9730" width="9.140625" style="1"/>
    <col min="9731" max="9731" width="10.7109375" style="1" customWidth="1"/>
    <col min="9732" max="9732" width="10.5703125" style="1" customWidth="1"/>
    <col min="9733" max="9733" width="10.28515625" style="1" customWidth="1"/>
    <col min="9734" max="9734" width="13.28515625" style="1" customWidth="1"/>
    <col min="9735" max="9735" width="13.42578125" style="1" customWidth="1"/>
    <col min="9736" max="9736" width="54.42578125" style="1" customWidth="1"/>
    <col min="9737" max="9986" width="9.140625" style="1"/>
    <col min="9987" max="9987" width="10.7109375" style="1" customWidth="1"/>
    <col min="9988" max="9988" width="10.5703125" style="1" customWidth="1"/>
    <col min="9989" max="9989" width="10.28515625" style="1" customWidth="1"/>
    <col min="9990" max="9990" width="13.28515625" style="1" customWidth="1"/>
    <col min="9991" max="9991" width="13.42578125" style="1" customWidth="1"/>
    <col min="9992" max="9992" width="54.42578125" style="1" customWidth="1"/>
    <col min="9993" max="10242" width="9.140625" style="1"/>
    <col min="10243" max="10243" width="10.7109375" style="1" customWidth="1"/>
    <col min="10244" max="10244" width="10.5703125" style="1" customWidth="1"/>
    <col min="10245" max="10245" width="10.28515625" style="1" customWidth="1"/>
    <col min="10246" max="10246" width="13.28515625" style="1" customWidth="1"/>
    <col min="10247" max="10247" width="13.42578125" style="1" customWidth="1"/>
    <col min="10248" max="10248" width="54.42578125" style="1" customWidth="1"/>
    <col min="10249" max="10498" width="9.140625" style="1"/>
    <col min="10499" max="10499" width="10.7109375" style="1" customWidth="1"/>
    <col min="10500" max="10500" width="10.5703125" style="1" customWidth="1"/>
    <col min="10501" max="10501" width="10.28515625" style="1" customWidth="1"/>
    <col min="10502" max="10502" width="13.28515625" style="1" customWidth="1"/>
    <col min="10503" max="10503" width="13.42578125" style="1" customWidth="1"/>
    <col min="10504" max="10504" width="54.42578125" style="1" customWidth="1"/>
    <col min="10505" max="10754" width="9.140625" style="1"/>
    <col min="10755" max="10755" width="10.7109375" style="1" customWidth="1"/>
    <col min="10756" max="10756" width="10.5703125" style="1" customWidth="1"/>
    <col min="10757" max="10757" width="10.28515625" style="1" customWidth="1"/>
    <col min="10758" max="10758" width="13.28515625" style="1" customWidth="1"/>
    <col min="10759" max="10759" width="13.42578125" style="1" customWidth="1"/>
    <col min="10760" max="10760" width="54.42578125" style="1" customWidth="1"/>
    <col min="10761" max="11010" width="9.140625" style="1"/>
    <col min="11011" max="11011" width="10.7109375" style="1" customWidth="1"/>
    <col min="11012" max="11012" width="10.5703125" style="1" customWidth="1"/>
    <col min="11013" max="11013" width="10.28515625" style="1" customWidth="1"/>
    <col min="11014" max="11014" width="13.28515625" style="1" customWidth="1"/>
    <col min="11015" max="11015" width="13.42578125" style="1" customWidth="1"/>
    <col min="11016" max="11016" width="54.42578125" style="1" customWidth="1"/>
    <col min="11017" max="11266" width="9.140625" style="1"/>
    <col min="11267" max="11267" width="10.7109375" style="1" customWidth="1"/>
    <col min="11268" max="11268" width="10.5703125" style="1" customWidth="1"/>
    <col min="11269" max="11269" width="10.28515625" style="1" customWidth="1"/>
    <col min="11270" max="11270" width="13.28515625" style="1" customWidth="1"/>
    <col min="11271" max="11271" width="13.42578125" style="1" customWidth="1"/>
    <col min="11272" max="11272" width="54.42578125" style="1" customWidth="1"/>
    <col min="11273" max="11522" width="9.140625" style="1"/>
    <col min="11523" max="11523" width="10.7109375" style="1" customWidth="1"/>
    <col min="11524" max="11524" width="10.5703125" style="1" customWidth="1"/>
    <col min="11525" max="11525" width="10.28515625" style="1" customWidth="1"/>
    <col min="11526" max="11526" width="13.28515625" style="1" customWidth="1"/>
    <col min="11527" max="11527" width="13.42578125" style="1" customWidth="1"/>
    <col min="11528" max="11528" width="54.42578125" style="1" customWidth="1"/>
    <col min="11529" max="11778" width="9.140625" style="1"/>
    <col min="11779" max="11779" width="10.7109375" style="1" customWidth="1"/>
    <col min="11780" max="11780" width="10.5703125" style="1" customWidth="1"/>
    <col min="11781" max="11781" width="10.28515625" style="1" customWidth="1"/>
    <col min="11782" max="11782" width="13.28515625" style="1" customWidth="1"/>
    <col min="11783" max="11783" width="13.42578125" style="1" customWidth="1"/>
    <col min="11784" max="11784" width="54.42578125" style="1" customWidth="1"/>
    <col min="11785" max="12034" width="9.140625" style="1"/>
    <col min="12035" max="12035" width="10.7109375" style="1" customWidth="1"/>
    <col min="12036" max="12036" width="10.5703125" style="1" customWidth="1"/>
    <col min="12037" max="12037" width="10.28515625" style="1" customWidth="1"/>
    <col min="12038" max="12038" width="13.28515625" style="1" customWidth="1"/>
    <col min="12039" max="12039" width="13.42578125" style="1" customWidth="1"/>
    <col min="12040" max="12040" width="54.42578125" style="1" customWidth="1"/>
    <col min="12041" max="12290" width="9.140625" style="1"/>
    <col min="12291" max="12291" width="10.7109375" style="1" customWidth="1"/>
    <col min="12292" max="12292" width="10.5703125" style="1" customWidth="1"/>
    <col min="12293" max="12293" width="10.28515625" style="1" customWidth="1"/>
    <col min="12294" max="12294" width="13.28515625" style="1" customWidth="1"/>
    <col min="12295" max="12295" width="13.42578125" style="1" customWidth="1"/>
    <col min="12296" max="12296" width="54.42578125" style="1" customWidth="1"/>
    <col min="12297" max="12546" width="9.140625" style="1"/>
    <col min="12547" max="12547" width="10.7109375" style="1" customWidth="1"/>
    <col min="12548" max="12548" width="10.5703125" style="1" customWidth="1"/>
    <col min="12549" max="12549" width="10.28515625" style="1" customWidth="1"/>
    <col min="12550" max="12550" width="13.28515625" style="1" customWidth="1"/>
    <col min="12551" max="12551" width="13.42578125" style="1" customWidth="1"/>
    <col min="12552" max="12552" width="54.42578125" style="1" customWidth="1"/>
    <col min="12553" max="12802" width="9.140625" style="1"/>
    <col min="12803" max="12803" width="10.7109375" style="1" customWidth="1"/>
    <col min="12804" max="12804" width="10.5703125" style="1" customWidth="1"/>
    <col min="12805" max="12805" width="10.28515625" style="1" customWidth="1"/>
    <col min="12806" max="12806" width="13.28515625" style="1" customWidth="1"/>
    <col min="12807" max="12807" width="13.42578125" style="1" customWidth="1"/>
    <col min="12808" max="12808" width="54.42578125" style="1" customWidth="1"/>
    <col min="12809" max="13058" width="9.140625" style="1"/>
    <col min="13059" max="13059" width="10.7109375" style="1" customWidth="1"/>
    <col min="13060" max="13060" width="10.5703125" style="1" customWidth="1"/>
    <col min="13061" max="13061" width="10.28515625" style="1" customWidth="1"/>
    <col min="13062" max="13062" width="13.28515625" style="1" customWidth="1"/>
    <col min="13063" max="13063" width="13.42578125" style="1" customWidth="1"/>
    <col min="13064" max="13064" width="54.42578125" style="1" customWidth="1"/>
    <col min="13065" max="13314" width="9.140625" style="1"/>
    <col min="13315" max="13315" width="10.7109375" style="1" customWidth="1"/>
    <col min="13316" max="13316" width="10.5703125" style="1" customWidth="1"/>
    <col min="13317" max="13317" width="10.28515625" style="1" customWidth="1"/>
    <col min="13318" max="13318" width="13.28515625" style="1" customWidth="1"/>
    <col min="13319" max="13319" width="13.42578125" style="1" customWidth="1"/>
    <col min="13320" max="13320" width="54.42578125" style="1" customWidth="1"/>
    <col min="13321" max="13570" width="9.140625" style="1"/>
    <col min="13571" max="13571" width="10.7109375" style="1" customWidth="1"/>
    <col min="13572" max="13572" width="10.5703125" style="1" customWidth="1"/>
    <col min="13573" max="13573" width="10.28515625" style="1" customWidth="1"/>
    <col min="13574" max="13574" width="13.28515625" style="1" customWidth="1"/>
    <col min="13575" max="13575" width="13.42578125" style="1" customWidth="1"/>
    <col min="13576" max="13576" width="54.42578125" style="1" customWidth="1"/>
    <col min="13577" max="13826" width="9.140625" style="1"/>
    <col min="13827" max="13827" width="10.7109375" style="1" customWidth="1"/>
    <col min="13828" max="13828" width="10.5703125" style="1" customWidth="1"/>
    <col min="13829" max="13829" width="10.28515625" style="1" customWidth="1"/>
    <col min="13830" max="13830" width="13.28515625" style="1" customWidth="1"/>
    <col min="13831" max="13831" width="13.42578125" style="1" customWidth="1"/>
    <col min="13832" max="13832" width="54.42578125" style="1" customWidth="1"/>
    <col min="13833" max="14082" width="9.140625" style="1"/>
    <col min="14083" max="14083" width="10.7109375" style="1" customWidth="1"/>
    <col min="14084" max="14084" width="10.5703125" style="1" customWidth="1"/>
    <col min="14085" max="14085" width="10.28515625" style="1" customWidth="1"/>
    <col min="14086" max="14086" width="13.28515625" style="1" customWidth="1"/>
    <col min="14087" max="14087" width="13.42578125" style="1" customWidth="1"/>
    <col min="14088" max="14088" width="54.42578125" style="1" customWidth="1"/>
    <col min="14089" max="14338" width="9.140625" style="1"/>
    <col min="14339" max="14339" width="10.7109375" style="1" customWidth="1"/>
    <col min="14340" max="14340" width="10.5703125" style="1" customWidth="1"/>
    <col min="14341" max="14341" width="10.28515625" style="1" customWidth="1"/>
    <col min="14342" max="14342" width="13.28515625" style="1" customWidth="1"/>
    <col min="14343" max="14343" width="13.42578125" style="1" customWidth="1"/>
    <col min="14344" max="14344" width="54.42578125" style="1" customWidth="1"/>
    <col min="14345" max="14594" width="9.140625" style="1"/>
    <col min="14595" max="14595" width="10.7109375" style="1" customWidth="1"/>
    <col min="14596" max="14596" width="10.5703125" style="1" customWidth="1"/>
    <col min="14597" max="14597" width="10.28515625" style="1" customWidth="1"/>
    <col min="14598" max="14598" width="13.28515625" style="1" customWidth="1"/>
    <col min="14599" max="14599" width="13.42578125" style="1" customWidth="1"/>
    <col min="14600" max="14600" width="54.42578125" style="1" customWidth="1"/>
    <col min="14601" max="14850" width="9.140625" style="1"/>
    <col min="14851" max="14851" width="10.7109375" style="1" customWidth="1"/>
    <col min="14852" max="14852" width="10.5703125" style="1" customWidth="1"/>
    <col min="14853" max="14853" width="10.28515625" style="1" customWidth="1"/>
    <col min="14854" max="14854" width="13.28515625" style="1" customWidth="1"/>
    <col min="14855" max="14855" width="13.42578125" style="1" customWidth="1"/>
    <col min="14856" max="14856" width="54.42578125" style="1" customWidth="1"/>
    <col min="14857" max="15106" width="9.140625" style="1"/>
    <col min="15107" max="15107" width="10.7109375" style="1" customWidth="1"/>
    <col min="15108" max="15108" width="10.5703125" style="1" customWidth="1"/>
    <col min="15109" max="15109" width="10.28515625" style="1" customWidth="1"/>
    <col min="15110" max="15110" width="13.28515625" style="1" customWidth="1"/>
    <col min="15111" max="15111" width="13.42578125" style="1" customWidth="1"/>
    <col min="15112" max="15112" width="54.42578125" style="1" customWidth="1"/>
    <col min="15113" max="15362" width="9.140625" style="1"/>
    <col min="15363" max="15363" width="10.7109375" style="1" customWidth="1"/>
    <col min="15364" max="15364" width="10.5703125" style="1" customWidth="1"/>
    <col min="15365" max="15365" width="10.28515625" style="1" customWidth="1"/>
    <col min="15366" max="15366" width="13.28515625" style="1" customWidth="1"/>
    <col min="15367" max="15367" width="13.42578125" style="1" customWidth="1"/>
    <col min="15368" max="15368" width="54.42578125" style="1" customWidth="1"/>
    <col min="15369" max="15618" width="9.140625" style="1"/>
    <col min="15619" max="15619" width="10.7109375" style="1" customWidth="1"/>
    <col min="15620" max="15620" width="10.5703125" style="1" customWidth="1"/>
    <col min="15621" max="15621" width="10.28515625" style="1" customWidth="1"/>
    <col min="15622" max="15622" width="13.28515625" style="1" customWidth="1"/>
    <col min="15623" max="15623" width="13.42578125" style="1" customWidth="1"/>
    <col min="15624" max="15624" width="54.42578125" style="1" customWidth="1"/>
    <col min="15625" max="15874" width="9.140625" style="1"/>
    <col min="15875" max="15875" width="10.7109375" style="1" customWidth="1"/>
    <col min="15876" max="15876" width="10.5703125" style="1" customWidth="1"/>
    <col min="15877" max="15877" width="10.28515625" style="1" customWidth="1"/>
    <col min="15878" max="15878" width="13.28515625" style="1" customWidth="1"/>
    <col min="15879" max="15879" width="13.42578125" style="1" customWidth="1"/>
    <col min="15880" max="15880" width="54.42578125" style="1" customWidth="1"/>
    <col min="15881" max="16130" width="9.140625" style="1"/>
    <col min="16131" max="16131" width="10.7109375" style="1" customWidth="1"/>
    <col min="16132" max="16132" width="10.5703125" style="1" customWidth="1"/>
    <col min="16133" max="16133" width="10.28515625" style="1" customWidth="1"/>
    <col min="16134" max="16134" width="13.28515625" style="1" customWidth="1"/>
    <col min="16135" max="16135" width="13.42578125" style="1" customWidth="1"/>
    <col min="16136" max="16136" width="54.42578125" style="1" customWidth="1"/>
    <col min="16137" max="16384" width="9.140625" style="1"/>
  </cols>
  <sheetData>
    <row r="1" spans="1:8" ht="51" customHeight="1">
      <c r="A1" s="1977"/>
      <c r="B1" s="1977"/>
      <c r="C1" s="1977"/>
      <c r="D1" s="1977"/>
      <c r="E1" s="1978"/>
      <c r="F1" s="1862" t="s">
        <v>1057</v>
      </c>
      <c r="G1" s="1862"/>
      <c r="H1" s="1862"/>
    </row>
    <row r="2" spans="1:8" ht="45.75" customHeight="1">
      <c r="A2" s="1919" t="s">
        <v>60</v>
      </c>
      <c r="B2" s="1919"/>
      <c r="C2" s="1919"/>
      <c r="D2" s="1919"/>
      <c r="E2" s="1919"/>
      <c r="F2" s="1919"/>
      <c r="G2" s="1919"/>
      <c r="H2" s="1919"/>
    </row>
    <row r="3" spans="1:8" ht="13.5" thickBot="1">
      <c r="A3" s="35"/>
      <c r="B3" s="35"/>
      <c r="C3" s="35"/>
      <c r="D3" s="35"/>
      <c r="E3" s="35"/>
      <c r="F3" s="30"/>
      <c r="G3" s="30"/>
      <c r="H3" s="34" t="s">
        <v>58</v>
      </c>
    </row>
    <row r="4" spans="1:8" ht="15.75" thickBot="1">
      <c r="A4" s="1973" t="s">
        <v>0</v>
      </c>
      <c r="B4" s="1973" t="s">
        <v>1</v>
      </c>
      <c r="C4" s="1973" t="s">
        <v>64</v>
      </c>
      <c r="D4" s="1973" t="s">
        <v>5</v>
      </c>
      <c r="E4" s="1975" t="s">
        <v>272</v>
      </c>
      <c r="F4" s="1923" t="s">
        <v>1049</v>
      </c>
      <c r="G4" s="1922"/>
      <c r="H4" s="1973" t="s">
        <v>62</v>
      </c>
    </row>
    <row r="5" spans="1:8" ht="15.75" thickBot="1">
      <c r="A5" s="1974"/>
      <c r="B5" s="1974"/>
      <c r="C5" s="1974"/>
      <c r="D5" s="1974"/>
      <c r="E5" s="1976"/>
      <c r="F5" s="1213" t="s">
        <v>20</v>
      </c>
      <c r="G5" s="1213" t="s">
        <v>19</v>
      </c>
      <c r="H5" s="1974"/>
    </row>
    <row r="6" spans="1:8" ht="83.25" customHeight="1" thickBot="1">
      <c r="A6" s="39" t="s">
        <v>7</v>
      </c>
      <c r="B6" s="39" t="s">
        <v>8</v>
      </c>
      <c r="C6" s="1339" t="s">
        <v>1048</v>
      </c>
      <c r="D6" s="38" t="s">
        <v>9</v>
      </c>
      <c r="E6" s="37">
        <f>SUM(F6:G6)</f>
        <v>57000000</v>
      </c>
      <c r="F6" s="37">
        <v>57000000</v>
      </c>
      <c r="G6" s="37">
        <v>0</v>
      </c>
      <c r="H6" s="36" t="s">
        <v>105</v>
      </c>
    </row>
    <row r="7" spans="1:8" ht="36.75" customHeight="1" thickBot="1">
      <c r="A7" s="1979" t="s">
        <v>59</v>
      </c>
      <c r="B7" s="1979"/>
      <c r="C7" s="1218"/>
      <c r="D7" s="33"/>
      <c r="E7" s="31">
        <f>SUM(E6:E6)</f>
        <v>57000000</v>
      </c>
      <c r="F7" s="31">
        <f>SUM(F6:F6)</f>
        <v>57000000</v>
      </c>
      <c r="G7" s="31">
        <f>SUM(G6)</f>
        <v>0</v>
      </c>
      <c r="H7" s="32"/>
    </row>
    <row r="24" spans="6:7">
      <c r="F24" s="101"/>
      <c r="G24" s="101"/>
    </row>
  </sheetData>
  <mergeCells count="11">
    <mergeCell ref="A1:E1"/>
    <mergeCell ref="F1:H1"/>
    <mergeCell ref="A2:H2"/>
    <mergeCell ref="A7:B7"/>
    <mergeCell ref="F4:G4"/>
    <mergeCell ref="E4:E5"/>
    <mergeCell ref="D4:D5"/>
    <mergeCell ref="C4:C5"/>
    <mergeCell ref="B4:B5"/>
    <mergeCell ref="A4:A5"/>
    <mergeCell ref="H4:H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I30"/>
  <sheetViews>
    <sheetView view="pageBreakPreview" zoomScaleNormal="100" zoomScaleSheetLayoutView="100" workbookViewId="0">
      <selection activeCell="H1" sqref="H1:I1"/>
    </sheetView>
  </sheetViews>
  <sheetFormatPr defaultRowHeight="12.75"/>
  <cols>
    <col min="1" max="1" width="7" style="1" customWidth="1"/>
    <col min="2" max="2" width="10.28515625" style="1" customWidth="1"/>
    <col min="3" max="3" width="24" style="1" customWidth="1"/>
    <col min="4" max="4" width="11" style="1" customWidth="1"/>
    <col min="5" max="5" width="13.42578125" style="1" customWidth="1"/>
    <col min="6" max="7" width="15.7109375" style="1" customWidth="1"/>
    <col min="8" max="8" width="16" style="1" customWidth="1"/>
    <col min="9" max="9" width="61.28515625" style="1" customWidth="1"/>
    <col min="10" max="257" width="9.140625" style="1"/>
    <col min="258" max="258" width="7" style="1" customWidth="1"/>
    <col min="259" max="259" width="10.7109375" style="1" customWidth="1"/>
    <col min="260" max="260" width="15.7109375" style="1" customWidth="1"/>
    <col min="261" max="262" width="13.42578125" style="1" customWidth="1"/>
    <col min="263" max="263" width="17.85546875" style="1" customWidth="1"/>
    <col min="264" max="264" width="16" style="1" customWidth="1"/>
    <col min="265" max="265" width="43.42578125" style="1" customWidth="1"/>
    <col min="266" max="513" width="9.140625" style="1"/>
    <col min="514" max="514" width="7" style="1" customWidth="1"/>
    <col min="515" max="515" width="10.7109375" style="1" customWidth="1"/>
    <col min="516" max="516" width="15.7109375" style="1" customWidth="1"/>
    <col min="517" max="518" width="13.42578125" style="1" customWidth="1"/>
    <col min="519" max="519" width="17.85546875" style="1" customWidth="1"/>
    <col min="520" max="520" width="16" style="1" customWidth="1"/>
    <col min="521" max="521" width="43.42578125" style="1" customWidth="1"/>
    <col min="522" max="769" width="9.140625" style="1"/>
    <col min="770" max="770" width="7" style="1" customWidth="1"/>
    <col min="771" max="771" width="10.7109375" style="1" customWidth="1"/>
    <col min="772" max="772" width="15.7109375" style="1" customWidth="1"/>
    <col min="773" max="774" width="13.42578125" style="1" customWidth="1"/>
    <col min="775" max="775" width="17.85546875" style="1" customWidth="1"/>
    <col min="776" max="776" width="16" style="1" customWidth="1"/>
    <col min="777" max="777" width="43.42578125" style="1" customWidth="1"/>
    <col min="778" max="1025" width="9.140625" style="1"/>
    <col min="1026" max="1026" width="7" style="1" customWidth="1"/>
    <col min="1027" max="1027" width="10.7109375" style="1" customWidth="1"/>
    <col min="1028" max="1028" width="15.7109375" style="1" customWidth="1"/>
    <col min="1029" max="1030" width="13.42578125" style="1" customWidth="1"/>
    <col min="1031" max="1031" width="17.85546875" style="1" customWidth="1"/>
    <col min="1032" max="1032" width="16" style="1" customWidth="1"/>
    <col min="1033" max="1033" width="43.42578125" style="1" customWidth="1"/>
    <col min="1034" max="1281" width="9.140625" style="1"/>
    <col min="1282" max="1282" width="7" style="1" customWidth="1"/>
    <col min="1283" max="1283" width="10.7109375" style="1" customWidth="1"/>
    <col min="1284" max="1284" width="15.7109375" style="1" customWidth="1"/>
    <col min="1285" max="1286" width="13.42578125" style="1" customWidth="1"/>
    <col min="1287" max="1287" width="17.85546875" style="1" customWidth="1"/>
    <col min="1288" max="1288" width="16" style="1" customWidth="1"/>
    <col min="1289" max="1289" width="43.42578125" style="1" customWidth="1"/>
    <col min="1290" max="1537" width="9.140625" style="1"/>
    <col min="1538" max="1538" width="7" style="1" customWidth="1"/>
    <col min="1539" max="1539" width="10.7109375" style="1" customWidth="1"/>
    <col min="1540" max="1540" width="15.7109375" style="1" customWidth="1"/>
    <col min="1541" max="1542" width="13.42578125" style="1" customWidth="1"/>
    <col min="1543" max="1543" width="17.85546875" style="1" customWidth="1"/>
    <col min="1544" max="1544" width="16" style="1" customWidth="1"/>
    <col min="1545" max="1545" width="43.42578125" style="1" customWidth="1"/>
    <col min="1546" max="1793" width="9.140625" style="1"/>
    <col min="1794" max="1794" width="7" style="1" customWidth="1"/>
    <col min="1795" max="1795" width="10.7109375" style="1" customWidth="1"/>
    <col min="1796" max="1796" width="15.7109375" style="1" customWidth="1"/>
    <col min="1797" max="1798" width="13.42578125" style="1" customWidth="1"/>
    <col min="1799" max="1799" width="17.85546875" style="1" customWidth="1"/>
    <col min="1800" max="1800" width="16" style="1" customWidth="1"/>
    <col min="1801" max="1801" width="43.42578125" style="1" customWidth="1"/>
    <col min="1802" max="2049" width="9.140625" style="1"/>
    <col min="2050" max="2050" width="7" style="1" customWidth="1"/>
    <col min="2051" max="2051" width="10.7109375" style="1" customWidth="1"/>
    <col min="2052" max="2052" width="15.7109375" style="1" customWidth="1"/>
    <col min="2053" max="2054" width="13.42578125" style="1" customWidth="1"/>
    <col min="2055" max="2055" width="17.85546875" style="1" customWidth="1"/>
    <col min="2056" max="2056" width="16" style="1" customWidth="1"/>
    <col min="2057" max="2057" width="43.42578125" style="1" customWidth="1"/>
    <col min="2058" max="2305" width="9.140625" style="1"/>
    <col min="2306" max="2306" width="7" style="1" customWidth="1"/>
    <col min="2307" max="2307" width="10.7109375" style="1" customWidth="1"/>
    <col min="2308" max="2308" width="15.7109375" style="1" customWidth="1"/>
    <col min="2309" max="2310" width="13.42578125" style="1" customWidth="1"/>
    <col min="2311" max="2311" width="17.85546875" style="1" customWidth="1"/>
    <col min="2312" max="2312" width="16" style="1" customWidth="1"/>
    <col min="2313" max="2313" width="43.42578125" style="1" customWidth="1"/>
    <col min="2314" max="2561" width="9.140625" style="1"/>
    <col min="2562" max="2562" width="7" style="1" customWidth="1"/>
    <col min="2563" max="2563" width="10.7109375" style="1" customWidth="1"/>
    <col min="2564" max="2564" width="15.7109375" style="1" customWidth="1"/>
    <col min="2565" max="2566" width="13.42578125" style="1" customWidth="1"/>
    <col min="2567" max="2567" width="17.85546875" style="1" customWidth="1"/>
    <col min="2568" max="2568" width="16" style="1" customWidth="1"/>
    <col min="2569" max="2569" width="43.42578125" style="1" customWidth="1"/>
    <col min="2570" max="2817" width="9.140625" style="1"/>
    <col min="2818" max="2818" width="7" style="1" customWidth="1"/>
    <col min="2819" max="2819" width="10.7109375" style="1" customWidth="1"/>
    <col min="2820" max="2820" width="15.7109375" style="1" customWidth="1"/>
    <col min="2821" max="2822" width="13.42578125" style="1" customWidth="1"/>
    <col min="2823" max="2823" width="17.85546875" style="1" customWidth="1"/>
    <col min="2824" max="2824" width="16" style="1" customWidth="1"/>
    <col min="2825" max="2825" width="43.42578125" style="1" customWidth="1"/>
    <col min="2826" max="3073" width="9.140625" style="1"/>
    <col min="3074" max="3074" width="7" style="1" customWidth="1"/>
    <col min="3075" max="3075" width="10.7109375" style="1" customWidth="1"/>
    <col min="3076" max="3076" width="15.7109375" style="1" customWidth="1"/>
    <col min="3077" max="3078" width="13.42578125" style="1" customWidth="1"/>
    <col min="3079" max="3079" width="17.85546875" style="1" customWidth="1"/>
    <col min="3080" max="3080" width="16" style="1" customWidth="1"/>
    <col min="3081" max="3081" width="43.42578125" style="1" customWidth="1"/>
    <col min="3082" max="3329" width="9.140625" style="1"/>
    <col min="3330" max="3330" width="7" style="1" customWidth="1"/>
    <col min="3331" max="3331" width="10.7109375" style="1" customWidth="1"/>
    <col min="3332" max="3332" width="15.7109375" style="1" customWidth="1"/>
    <col min="3333" max="3334" width="13.42578125" style="1" customWidth="1"/>
    <col min="3335" max="3335" width="17.85546875" style="1" customWidth="1"/>
    <col min="3336" max="3336" width="16" style="1" customWidth="1"/>
    <col min="3337" max="3337" width="43.42578125" style="1" customWidth="1"/>
    <col min="3338" max="3585" width="9.140625" style="1"/>
    <col min="3586" max="3586" width="7" style="1" customWidth="1"/>
    <col min="3587" max="3587" width="10.7109375" style="1" customWidth="1"/>
    <col min="3588" max="3588" width="15.7109375" style="1" customWidth="1"/>
    <col min="3589" max="3590" width="13.42578125" style="1" customWidth="1"/>
    <col min="3591" max="3591" width="17.85546875" style="1" customWidth="1"/>
    <col min="3592" max="3592" width="16" style="1" customWidth="1"/>
    <col min="3593" max="3593" width="43.42578125" style="1" customWidth="1"/>
    <col min="3594" max="3841" width="9.140625" style="1"/>
    <col min="3842" max="3842" width="7" style="1" customWidth="1"/>
    <col min="3843" max="3843" width="10.7109375" style="1" customWidth="1"/>
    <col min="3844" max="3844" width="15.7109375" style="1" customWidth="1"/>
    <col min="3845" max="3846" width="13.42578125" style="1" customWidth="1"/>
    <col min="3847" max="3847" width="17.85546875" style="1" customWidth="1"/>
    <col min="3848" max="3848" width="16" style="1" customWidth="1"/>
    <col min="3849" max="3849" width="43.42578125" style="1" customWidth="1"/>
    <col min="3850" max="4097" width="9.140625" style="1"/>
    <col min="4098" max="4098" width="7" style="1" customWidth="1"/>
    <col min="4099" max="4099" width="10.7109375" style="1" customWidth="1"/>
    <col min="4100" max="4100" width="15.7109375" style="1" customWidth="1"/>
    <col min="4101" max="4102" width="13.42578125" style="1" customWidth="1"/>
    <col min="4103" max="4103" width="17.85546875" style="1" customWidth="1"/>
    <col min="4104" max="4104" width="16" style="1" customWidth="1"/>
    <col min="4105" max="4105" width="43.42578125" style="1" customWidth="1"/>
    <col min="4106" max="4353" width="9.140625" style="1"/>
    <col min="4354" max="4354" width="7" style="1" customWidth="1"/>
    <col min="4355" max="4355" width="10.7109375" style="1" customWidth="1"/>
    <col min="4356" max="4356" width="15.7109375" style="1" customWidth="1"/>
    <col min="4357" max="4358" width="13.42578125" style="1" customWidth="1"/>
    <col min="4359" max="4359" width="17.85546875" style="1" customWidth="1"/>
    <col min="4360" max="4360" width="16" style="1" customWidth="1"/>
    <col min="4361" max="4361" width="43.42578125" style="1" customWidth="1"/>
    <col min="4362" max="4609" width="9.140625" style="1"/>
    <col min="4610" max="4610" width="7" style="1" customWidth="1"/>
    <col min="4611" max="4611" width="10.7109375" style="1" customWidth="1"/>
    <col min="4612" max="4612" width="15.7109375" style="1" customWidth="1"/>
    <col min="4613" max="4614" width="13.42578125" style="1" customWidth="1"/>
    <col min="4615" max="4615" width="17.85546875" style="1" customWidth="1"/>
    <col min="4616" max="4616" width="16" style="1" customWidth="1"/>
    <col min="4617" max="4617" width="43.42578125" style="1" customWidth="1"/>
    <col min="4618" max="4865" width="9.140625" style="1"/>
    <col min="4866" max="4866" width="7" style="1" customWidth="1"/>
    <col min="4867" max="4867" width="10.7109375" style="1" customWidth="1"/>
    <col min="4868" max="4868" width="15.7109375" style="1" customWidth="1"/>
    <col min="4869" max="4870" width="13.42578125" style="1" customWidth="1"/>
    <col min="4871" max="4871" width="17.85546875" style="1" customWidth="1"/>
    <col min="4872" max="4872" width="16" style="1" customWidth="1"/>
    <col min="4873" max="4873" width="43.42578125" style="1" customWidth="1"/>
    <col min="4874" max="5121" width="9.140625" style="1"/>
    <col min="5122" max="5122" width="7" style="1" customWidth="1"/>
    <col min="5123" max="5123" width="10.7109375" style="1" customWidth="1"/>
    <col min="5124" max="5124" width="15.7109375" style="1" customWidth="1"/>
    <col min="5125" max="5126" width="13.42578125" style="1" customWidth="1"/>
    <col min="5127" max="5127" width="17.85546875" style="1" customWidth="1"/>
    <col min="5128" max="5128" width="16" style="1" customWidth="1"/>
    <col min="5129" max="5129" width="43.42578125" style="1" customWidth="1"/>
    <col min="5130" max="5377" width="9.140625" style="1"/>
    <col min="5378" max="5378" width="7" style="1" customWidth="1"/>
    <col min="5379" max="5379" width="10.7109375" style="1" customWidth="1"/>
    <col min="5380" max="5380" width="15.7109375" style="1" customWidth="1"/>
    <col min="5381" max="5382" width="13.42578125" style="1" customWidth="1"/>
    <col min="5383" max="5383" width="17.85546875" style="1" customWidth="1"/>
    <col min="5384" max="5384" width="16" style="1" customWidth="1"/>
    <col min="5385" max="5385" width="43.42578125" style="1" customWidth="1"/>
    <col min="5386" max="5633" width="9.140625" style="1"/>
    <col min="5634" max="5634" width="7" style="1" customWidth="1"/>
    <col min="5635" max="5635" width="10.7109375" style="1" customWidth="1"/>
    <col min="5636" max="5636" width="15.7109375" style="1" customWidth="1"/>
    <col min="5637" max="5638" width="13.42578125" style="1" customWidth="1"/>
    <col min="5639" max="5639" width="17.85546875" style="1" customWidth="1"/>
    <col min="5640" max="5640" width="16" style="1" customWidth="1"/>
    <col min="5641" max="5641" width="43.42578125" style="1" customWidth="1"/>
    <col min="5642" max="5889" width="9.140625" style="1"/>
    <col min="5890" max="5890" width="7" style="1" customWidth="1"/>
    <col min="5891" max="5891" width="10.7109375" style="1" customWidth="1"/>
    <col min="5892" max="5892" width="15.7109375" style="1" customWidth="1"/>
    <col min="5893" max="5894" width="13.42578125" style="1" customWidth="1"/>
    <col min="5895" max="5895" width="17.85546875" style="1" customWidth="1"/>
    <col min="5896" max="5896" width="16" style="1" customWidth="1"/>
    <col min="5897" max="5897" width="43.42578125" style="1" customWidth="1"/>
    <col min="5898" max="6145" width="9.140625" style="1"/>
    <col min="6146" max="6146" width="7" style="1" customWidth="1"/>
    <col min="6147" max="6147" width="10.7109375" style="1" customWidth="1"/>
    <col min="6148" max="6148" width="15.7109375" style="1" customWidth="1"/>
    <col min="6149" max="6150" width="13.42578125" style="1" customWidth="1"/>
    <col min="6151" max="6151" width="17.85546875" style="1" customWidth="1"/>
    <col min="6152" max="6152" width="16" style="1" customWidth="1"/>
    <col min="6153" max="6153" width="43.42578125" style="1" customWidth="1"/>
    <col min="6154" max="6401" width="9.140625" style="1"/>
    <col min="6402" max="6402" width="7" style="1" customWidth="1"/>
    <col min="6403" max="6403" width="10.7109375" style="1" customWidth="1"/>
    <col min="6404" max="6404" width="15.7109375" style="1" customWidth="1"/>
    <col min="6405" max="6406" width="13.42578125" style="1" customWidth="1"/>
    <col min="6407" max="6407" width="17.85546875" style="1" customWidth="1"/>
    <col min="6408" max="6408" width="16" style="1" customWidth="1"/>
    <col min="6409" max="6409" width="43.42578125" style="1" customWidth="1"/>
    <col min="6410" max="6657" width="9.140625" style="1"/>
    <col min="6658" max="6658" width="7" style="1" customWidth="1"/>
    <col min="6659" max="6659" width="10.7109375" style="1" customWidth="1"/>
    <col min="6660" max="6660" width="15.7109375" style="1" customWidth="1"/>
    <col min="6661" max="6662" width="13.42578125" style="1" customWidth="1"/>
    <col min="6663" max="6663" width="17.85546875" style="1" customWidth="1"/>
    <col min="6664" max="6664" width="16" style="1" customWidth="1"/>
    <col min="6665" max="6665" width="43.42578125" style="1" customWidth="1"/>
    <col min="6666" max="6913" width="9.140625" style="1"/>
    <col min="6914" max="6914" width="7" style="1" customWidth="1"/>
    <col min="6915" max="6915" width="10.7109375" style="1" customWidth="1"/>
    <col min="6916" max="6916" width="15.7109375" style="1" customWidth="1"/>
    <col min="6917" max="6918" width="13.42578125" style="1" customWidth="1"/>
    <col min="6919" max="6919" width="17.85546875" style="1" customWidth="1"/>
    <col min="6920" max="6920" width="16" style="1" customWidth="1"/>
    <col min="6921" max="6921" width="43.42578125" style="1" customWidth="1"/>
    <col min="6922" max="7169" width="9.140625" style="1"/>
    <col min="7170" max="7170" width="7" style="1" customWidth="1"/>
    <col min="7171" max="7171" width="10.7109375" style="1" customWidth="1"/>
    <col min="7172" max="7172" width="15.7109375" style="1" customWidth="1"/>
    <col min="7173" max="7174" width="13.42578125" style="1" customWidth="1"/>
    <col min="7175" max="7175" width="17.85546875" style="1" customWidth="1"/>
    <col min="7176" max="7176" width="16" style="1" customWidth="1"/>
    <col min="7177" max="7177" width="43.42578125" style="1" customWidth="1"/>
    <col min="7178" max="7425" width="9.140625" style="1"/>
    <col min="7426" max="7426" width="7" style="1" customWidth="1"/>
    <col min="7427" max="7427" width="10.7109375" style="1" customWidth="1"/>
    <col min="7428" max="7428" width="15.7109375" style="1" customWidth="1"/>
    <col min="7429" max="7430" width="13.42578125" style="1" customWidth="1"/>
    <col min="7431" max="7431" width="17.85546875" style="1" customWidth="1"/>
    <col min="7432" max="7432" width="16" style="1" customWidth="1"/>
    <col min="7433" max="7433" width="43.42578125" style="1" customWidth="1"/>
    <col min="7434" max="7681" width="9.140625" style="1"/>
    <col min="7682" max="7682" width="7" style="1" customWidth="1"/>
    <col min="7683" max="7683" width="10.7109375" style="1" customWidth="1"/>
    <col min="7684" max="7684" width="15.7109375" style="1" customWidth="1"/>
    <col min="7685" max="7686" width="13.42578125" style="1" customWidth="1"/>
    <col min="7687" max="7687" width="17.85546875" style="1" customWidth="1"/>
    <col min="7688" max="7688" width="16" style="1" customWidth="1"/>
    <col min="7689" max="7689" width="43.42578125" style="1" customWidth="1"/>
    <col min="7690" max="7937" width="9.140625" style="1"/>
    <col min="7938" max="7938" width="7" style="1" customWidth="1"/>
    <col min="7939" max="7939" width="10.7109375" style="1" customWidth="1"/>
    <col min="7940" max="7940" width="15.7109375" style="1" customWidth="1"/>
    <col min="7941" max="7942" width="13.42578125" style="1" customWidth="1"/>
    <col min="7943" max="7943" width="17.85546875" style="1" customWidth="1"/>
    <col min="7944" max="7944" width="16" style="1" customWidth="1"/>
    <col min="7945" max="7945" width="43.42578125" style="1" customWidth="1"/>
    <col min="7946" max="8193" width="9.140625" style="1"/>
    <col min="8194" max="8194" width="7" style="1" customWidth="1"/>
    <col min="8195" max="8195" width="10.7109375" style="1" customWidth="1"/>
    <col min="8196" max="8196" width="15.7109375" style="1" customWidth="1"/>
    <col min="8197" max="8198" width="13.42578125" style="1" customWidth="1"/>
    <col min="8199" max="8199" width="17.85546875" style="1" customWidth="1"/>
    <col min="8200" max="8200" width="16" style="1" customWidth="1"/>
    <col min="8201" max="8201" width="43.42578125" style="1" customWidth="1"/>
    <col min="8202" max="8449" width="9.140625" style="1"/>
    <col min="8450" max="8450" width="7" style="1" customWidth="1"/>
    <col min="8451" max="8451" width="10.7109375" style="1" customWidth="1"/>
    <col min="8452" max="8452" width="15.7109375" style="1" customWidth="1"/>
    <col min="8453" max="8454" width="13.42578125" style="1" customWidth="1"/>
    <col min="8455" max="8455" width="17.85546875" style="1" customWidth="1"/>
    <col min="8456" max="8456" width="16" style="1" customWidth="1"/>
    <col min="8457" max="8457" width="43.42578125" style="1" customWidth="1"/>
    <col min="8458" max="8705" width="9.140625" style="1"/>
    <col min="8706" max="8706" width="7" style="1" customWidth="1"/>
    <col min="8707" max="8707" width="10.7109375" style="1" customWidth="1"/>
    <col min="8708" max="8708" width="15.7109375" style="1" customWidth="1"/>
    <col min="8709" max="8710" width="13.42578125" style="1" customWidth="1"/>
    <col min="8711" max="8711" width="17.85546875" style="1" customWidth="1"/>
    <col min="8712" max="8712" width="16" style="1" customWidth="1"/>
    <col min="8713" max="8713" width="43.42578125" style="1" customWidth="1"/>
    <col min="8714" max="8961" width="9.140625" style="1"/>
    <col min="8962" max="8962" width="7" style="1" customWidth="1"/>
    <col min="8963" max="8963" width="10.7109375" style="1" customWidth="1"/>
    <col min="8964" max="8964" width="15.7109375" style="1" customWidth="1"/>
    <col min="8965" max="8966" width="13.42578125" style="1" customWidth="1"/>
    <col min="8967" max="8967" width="17.85546875" style="1" customWidth="1"/>
    <col min="8968" max="8968" width="16" style="1" customWidth="1"/>
    <col min="8969" max="8969" width="43.42578125" style="1" customWidth="1"/>
    <col min="8970" max="9217" width="9.140625" style="1"/>
    <col min="9218" max="9218" width="7" style="1" customWidth="1"/>
    <col min="9219" max="9219" width="10.7109375" style="1" customWidth="1"/>
    <col min="9220" max="9220" width="15.7109375" style="1" customWidth="1"/>
    <col min="9221" max="9222" width="13.42578125" style="1" customWidth="1"/>
    <col min="9223" max="9223" width="17.85546875" style="1" customWidth="1"/>
    <col min="9224" max="9224" width="16" style="1" customWidth="1"/>
    <col min="9225" max="9225" width="43.42578125" style="1" customWidth="1"/>
    <col min="9226" max="9473" width="9.140625" style="1"/>
    <col min="9474" max="9474" width="7" style="1" customWidth="1"/>
    <col min="9475" max="9475" width="10.7109375" style="1" customWidth="1"/>
    <col min="9476" max="9476" width="15.7109375" style="1" customWidth="1"/>
    <col min="9477" max="9478" width="13.42578125" style="1" customWidth="1"/>
    <col min="9479" max="9479" width="17.85546875" style="1" customWidth="1"/>
    <col min="9480" max="9480" width="16" style="1" customWidth="1"/>
    <col min="9481" max="9481" width="43.42578125" style="1" customWidth="1"/>
    <col min="9482" max="9729" width="9.140625" style="1"/>
    <col min="9730" max="9730" width="7" style="1" customWidth="1"/>
    <col min="9731" max="9731" width="10.7109375" style="1" customWidth="1"/>
    <col min="9732" max="9732" width="15.7109375" style="1" customWidth="1"/>
    <col min="9733" max="9734" width="13.42578125" style="1" customWidth="1"/>
    <col min="9735" max="9735" width="17.85546875" style="1" customWidth="1"/>
    <col min="9736" max="9736" width="16" style="1" customWidth="1"/>
    <col min="9737" max="9737" width="43.42578125" style="1" customWidth="1"/>
    <col min="9738" max="9985" width="9.140625" style="1"/>
    <col min="9986" max="9986" width="7" style="1" customWidth="1"/>
    <col min="9987" max="9987" width="10.7109375" style="1" customWidth="1"/>
    <col min="9988" max="9988" width="15.7109375" style="1" customWidth="1"/>
    <col min="9989" max="9990" width="13.42578125" style="1" customWidth="1"/>
    <col min="9991" max="9991" width="17.85546875" style="1" customWidth="1"/>
    <col min="9992" max="9992" width="16" style="1" customWidth="1"/>
    <col min="9993" max="9993" width="43.42578125" style="1" customWidth="1"/>
    <col min="9994" max="10241" width="9.140625" style="1"/>
    <col min="10242" max="10242" width="7" style="1" customWidth="1"/>
    <col min="10243" max="10243" width="10.7109375" style="1" customWidth="1"/>
    <col min="10244" max="10244" width="15.7109375" style="1" customWidth="1"/>
    <col min="10245" max="10246" width="13.42578125" style="1" customWidth="1"/>
    <col min="10247" max="10247" width="17.85546875" style="1" customWidth="1"/>
    <col min="10248" max="10248" width="16" style="1" customWidth="1"/>
    <col min="10249" max="10249" width="43.42578125" style="1" customWidth="1"/>
    <col min="10250" max="10497" width="9.140625" style="1"/>
    <col min="10498" max="10498" width="7" style="1" customWidth="1"/>
    <col min="10499" max="10499" width="10.7109375" style="1" customWidth="1"/>
    <col min="10500" max="10500" width="15.7109375" style="1" customWidth="1"/>
    <col min="10501" max="10502" width="13.42578125" style="1" customWidth="1"/>
    <col min="10503" max="10503" width="17.85546875" style="1" customWidth="1"/>
    <col min="10504" max="10504" width="16" style="1" customWidth="1"/>
    <col min="10505" max="10505" width="43.42578125" style="1" customWidth="1"/>
    <col min="10506" max="10753" width="9.140625" style="1"/>
    <col min="10754" max="10754" width="7" style="1" customWidth="1"/>
    <col min="10755" max="10755" width="10.7109375" style="1" customWidth="1"/>
    <col min="10756" max="10756" width="15.7109375" style="1" customWidth="1"/>
    <col min="10757" max="10758" width="13.42578125" style="1" customWidth="1"/>
    <col min="10759" max="10759" width="17.85546875" style="1" customWidth="1"/>
    <col min="10760" max="10760" width="16" style="1" customWidth="1"/>
    <col min="10761" max="10761" width="43.42578125" style="1" customWidth="1"/>
    <col min="10762" max="11009" width="9.140625" style="1"/>
    <col min="11010" max="11010" width="7" style="1" customWidth="1"/>
    <col min="11011" max="11011" width="10.7109375" style="1" customWidth="1"/>
    <col min="11012" max="11012" width="15.7109375" style="1" customWidth="1"/>
    <col min="11013" max="11014" width="13.42578125" style="1" customWidth="1"/>
    <col min="11015" max="11015" width="17.85546875" style="1" customWidth="1"/>
    <col min="11016" max="11016" width="16" style="1" customWidth="1"/>
    <col min="11017" max="11017" width="43.42578125" style="1" customWidth="1"/>
    <col min="11018" max="11265" width="9.140625" style="1"/>
    <col min="11266" max="11266" width="7" style="1" customWidth="1"/>
    <col min="11267" max="11267" width="10.7109375" style="1" customWidth="1"/>
    <col min="11268" max="11268" width="15.7109375" style="1" customWidth="1"/>
    <col min="11269" max="11270" width="13.42578125" style="1" customWidth="1"/>
    <col min="11271" max="11271" width="17.85546875" style="1" customWidth="1"/>
    <col min="11272" max="11272" width="16" style="1" customWidth="1"/>
    <col min="11273" max="11273" width="43.42578125" style="1" customWidth="1"/>
    <col min="11274" max="11521" width="9.140625" style="1"/>
    <col min="11522" max="11522" width="7" style="1" customWidth="1"/>
    <col min="11523" max="11523" width="10.7109375" style="1" customWidth="1"/>
    <col min="11524" max="11524" width="15.7109375" style="1" customWidth="1"/>
    <col min="11525" max="11526" width="13.42578125" style="1" customWidth="1"/>
    <col min="11527" max="11527" width="17.85546875" style="1" customWidth="1"/>
    <col min="11528" max="11528" width="16" style="1" customWidth="1"/>
    <col min="11529" max="11529" width="43.42578125" style="1" customWidth="1"/>
    <col min="11530" max="11777" width="9.140625" style="1"/>
    <col min="11778" max="11778" width="7" style="1" customWidth="1"/>
    <col min="11779" max="11779" width="10.7109375" style="1" customWidth="1"/>
    <col min="11780" max="11780" width="15.7109375" style="1" customWidth="1"/>
    <col min="11781" max="11782" width="13.42578125" style="1" customWidth="1"/>
    <col min="11783" max="11783" width="17.85546875" style="1" customWidth="1"/>
    <col min="11784" max="11784" width="16" style="1" customWidth="1"/>
    <col min="11785" max="11785" width="43.42578125" style="1" customWidth="1"/>
    <col min="11786" max="12033" width="9.140625" style="1"/>
    <col min="12034" max="12034" width="7" style="1" customWidth="1"/>
    <col min="12035" max="12035" width="10.7109375" style="1" customWidth="1"/>
    <col min="12036" max="12036" width="15.7109375" style="1" customWidth="1"/>
    <col min="12037" max="12038" width="13.42578125" style="1" customWidth="1"/>
    <col min="12039" max="12039" width="17.85546875" style="1" customWidth="1"/>
    <col min="12040" max="12040" width="16" style="1" customWidth="1"/>
    <col min="12041" max="12041" width="43.42578125" style="1" customWidth="1"/>
    <col min="12042" max="12289" width="9.140625" style="1"/>
    <col min="12290" max="12290" width="7" style="1" customWidth="1"/>
    <col min="12291" max="12291" width="10.7109375" style="1" customWidth="1"/>
    <col min="12292" max="12292" width="15.7109375" style="1" customWidth="1"/>
    <col min="12293" max="12294" width="13.42578125" style="1" customWidth="1"/>
    <col min="12295" max="12295" width="17.85546875" style="1" customWidth="1"/>
    <col min="12296" max="12296" width="16" style="1" customWidth="1"/>
    <col min="12297" max="12297" width="43.42578125" style="1" customWidth="1"/>
    <col min="12298" max="12545" width="9.140625" style="1"/>
    <col min="12546" max="12546" width="7" style="1" customWidth="1"/>
    <col min="12547" max="12547" width="10.7109375" style="1" customWidth="1"/>
    <col min="12548" max="12548" width="15.7109375" style="1" customWidth="1"/>
    <col min="12549" max="12550" width="13.42578125" style="1" customWidth="1"/>
    <col min="12551" max="12551" width="17.85546875" style="1" customWidth="1"/>
    <col min="12552" max="12552" width="16" style="1" customWidth="1"/>
    <col min="12553" max="12553" width="43.42578125" style="1" customWidth="1"/>
    <col min="12554" max="12801" width="9.140625" style="1"/>
    <col min="12802" max="12802" width="7" style="1" customWidth="1"/>
    <col min="12803" max="12803" width="10.7109375" style="1" customWidth="1"/>
    <col min="12804" max="12804" width="15.7109375" style="1" customWidth="1"/>
    <col min="12805" max="12806" width="13.42578125" style="1" customWidth="1"/>
    <col min="12807" max="12807" width="17.85546875" style="1" customWidth="1"/>
    <col min="12808" max="12808" width="16" style="1" customWidth="1"/>
    <col min="12809" max="12809" width="43.42578125" style="1" customWidth="1"/>
    <col min="12810" max="13057" width="9.140625" style="1"/>
    <col min="13058" max="13058" width="7" style="1" customWidth="1"/>
    <col min="13059" max="13059" width="10.7109375" style="1" customWidth="1"/>
    <col min="13060" max="13060" width="15.7109375" style="1" customWidth="1"/>
    <col min="13061" max="13062" width="13.42578125" style="1" customWidth="1"/>
    <col min="13063" max="13063" width="17.85546875" style="1" customWidth="1"/>
    <col min="13064" max="13064" width="16" style="1" customWidth="1"/>
    <col min="13065" max="13065" width="43.42578125" style="1" customWidth="1"/>
    <col min="13066" max="13313" width="9.140625" style="1"/>
    <col min="13314" max="13314" width="7" style="1" customWidth="1"/>
    <col min="13315" max="13315" width="10.7109375" style="1" customWidth="1"/>
    <col min="13316" max="13316" width="15.7109375" style="1" customWidth="1"/>
    <col min="13317" max="13318" width="13.42578125" style="1" customWidth="1"/>
    <col min="13319" max="13319" width="17.85546875" style="1" customWidth="1"/>
    <col min="13320" max="13320" width="16" style="1" customWidth="1"/>
    <col min="13321" max="13321" width="43.42578125" style="1" customWidth="1"/>
    <col min="13322" max="13569" width="9.140625" style="1"/>
    <col min="13570" max="13570" width="7" style="1" customWidth="1"/>
    <col min="13571" max="13571" width="10.7109375" style="1" customWidth="1"/>
    <col min="13572" max="13572" width="15.7109375" style="1" customWidth="1"/>
    <col min="13573" max="13574" width="13.42578125" style="1" customWidth="1"/>
    <col min="13575" max="13575" width="17.85546875" style="1" customWidth="1"/>
    <col min="13576" max="13576" width="16" style="1" customWidth="1"/>
    <col min="13577" max="13577" width="43.42578125" style="1" customWidth="1"/>
    <col min="13578" max="13825" width="9.140625" style="1"/>
    <col min="13826" max="13826" width="7" style="1" customWidth="1"/>
    <col min="13827" max="13827" width="10.7109375" style="1" customWidth="1"/>
    <col min="13828" max="13828" width="15.7109375" style="1" customWidth="1"/>
    <col min="13829" max="13830" width="13.42578125" style="1" customWidth="1"/>
    <col min="13831" max="13831" width="17.85546875" style="1" customWidth="1"/>
    <col min="13832" max="13832" width="16" style="1" customWidth="1"/>
    <col min="13833" max="13833" width="43.42578125" style="1" customWidth="1"/>
    <col min="13834" max="14081" width="9.140625" style="1"/>
    <col min="14082" max="14082" width="7" style="1" customWidth="1"/>
    <col min="14083" max="14083" width="10.7109375" style="1" customWidth="1"/>
    <col min="14084" max="14084" width="15.7109375" style="1" customWidth="1"/>
    <col min="14085" max="14086" width="13.42578125" style="1" customWidth="1"/>
    <col min="14087" max="14087" width="17.85546875" style="1" customWidth="1"/>
    <col min="14088" max="14088" width="16" style="1" customWidth="1"/>
    <col min="14089" max="14089" width="43.42578125" style="1" customWidth="1"/>
    <col min="14090" max="14337" width="9.140625" style="1"/>
    <col min="14338" max="14338" width="7" style="1" customWidth="1"/>
    <col min="14339" max="14339" width="10.7109375" style="1" customWidth="1"/>
    <col min="14340" max="14340" width="15.7109375" style="1" customWidth="1"/>
    <col min="14341" max="14342" width="13.42578125" style="1" customWidth="1"/>
    <col min="14343" max="14343" width="17.85546875" style="1" customWidth="1"/>
    <col min="14344" max="14344" width="16" style="1" customWidth="1"/>
    <col min="14345" max="14345" width="43.42578125" style="1" customWidth="1"/>
    <col min="14346" max="14593" width="9.140625" style="1"/>
    <col min="14594" max="14594" width="7" style="1" customWidth="1"/>
    <col min="14595" max="14595" width="10.7109375" style="1" customWidth="1"/>
    <col min="14596" max="14596" width="15.7109375" style="1" customWidth="1"/>
    <col min="14597" max="14598" width="13.42578125" style="1" customWidth="1"/>
    <col min="14599" max="14599" width="17.85546875" style="1" customWidth="1"/>
    <col min="14600" max="14600" width="16" style="1" customWidth="1"/>
    <col min="14601" max="14601" width="43.42578125" style="1" customWidth="1"/>
    <col min="14602" max="14849" width="9.140625" style="1"/>
    <col min="14850" max="14850" width="7" style="1" customWidth="1"/>
    <col min="14851" max="14851" width="10.7109375" style="1" customWidth="1"/>
    <col min="14852" max="14852" width="15.7109375" style="1" customWidth="1"/>
    <col min="14853" max="14854" width="13.42578125" style="1" customWidth="1"/>
    <col min="14855" max="14855" width="17.85546875" style="1" customWidth="1"/>
    <col min="14856" max="14856" width="16" style="1" customWidth="1"/>
    <col min="14857" max="14857" width="43.42578125" style="1" customWidth="1"/>
    <col min="14858" max="15105" width="9.140625" style="1"/>
    <col min="15106" max="15106" width="7" style="1" customWidth="1"/>
    <col min="15107" max="15107" width="10.7109375" style="1" customWidth="1"/>
    <col min="15108" max="15108" width="15.7109375" style="1" customWidth="1"/>
    <col min="15109" max="15110" width="13.42578125" style="1" customWidth="1"/>
    <col min="15111" max="15111" width="17.85546875" style="1" customWidth="1"/>
    <col min="15112" max="15112" width="16" style="1" customWidth="1"/>
    <col min="15113" max="15113" width="43.42578125" style="1" customWidth="1"/>
    <col min="15114" max="15361" width="9.140625" style="1"/>
    <col min="15362" max="15362" width="7" style="1" customWidth="1"/>
    <col min="15363" max="15363" width="10.7109375" style="1" customWidth="1"/>
    <col min="15364" max="15364" width="15.7109375" style="1" customWidth="1"/>
    <col min="15365" max="15366" width="13.42578125" style="1" customWidth="1"/>
    <col min="15367" max="15367" width="17.85546875" style="1" customWidth="1"/>
    <col min="15368" max="15368" width="16" style="1" customWidth="1"/>
    <col min="15369" max="15369" width="43.42578125" style="1" customWidth="1"/>
    <col min="15370" max="15617" width="9.140625" style="1"/>
    <col min="15618" max="15618" width="7" style="1" customWidth="1"/>
    <col min="15619" max="15619" width="10.7109375" style="1" customWidth="1"/>
    <col min="15620" max="15620" width="15.7109375" style="1" customWidth="1"/>
    <col min="15621" max="15622" width="13.42578125" style="1" customWidth="1"/>
    <col min="15623" max="15623" width="17.85546875" style="1" customWidth="1"/>
    <col min="15624" max="15624" width="16" style="1" customWidth="1"/>
    <col min="15625" max="15625" width="43.42578125" style="1" customWidth="1"/>
    <col min="15626" max="15873" width="9.140625" style="1"/>
    <col min="15874" max="15874" width="7" style="1" customWidth="1"/>
    <col min="15875" max="15875" width="10.7109375" style="1" customWidth="1"/>
    <col min="15876" max="15876" width="15.7109375" style="1" customWidth="1"/>
    <col min="15877" max="15878" width="13.42578125" style="1" customWidth="1"/>
    <col min="15879" max="15879" width="17.85546875" style="1" customWidth="1"/>
    <col min="15880" max="15880" width="16" style="1" customWidth="1"/>
    <col min="15881" max="15881" width="43.42578125" style="1" customWidth="1"/>
    <col min="15882" max="16129" width="9.140625" style="1"/>
    <col min="16130" max="16130" width="7" style="1" customWidth="1"/>
    <col min="16131" max="16131" width="10.7109375" style="1" customWidth="1"/>
    <col min="16132" max="16132" width="15.7109375" style="1" customWidth="1"/>
    <col min="16133" max="16134" width="13.42578125" style="1" customWidth="1"/>
    <col min="16135" max="16135" width="17.85546875" style="1" customWidth="1"/>
    <col min="16136" max="16136" width="16" style="1" customWidth="1"/>
    <col min="16137" max="16137" width="43.42578125" style="1" customWidth="1"/>
    <col min="16138" max="16384" width="9.140625" style="1"/>
  </cols>
  <sheetData>
    <row r="1" spans="1:9" ht="63.75" customHeight="1">
      <c r="A1" s="35"/>
      <c r="B1" s="35"/>
      <c r="C1" s="41"/>
      <c r="D1" s="41"/>
      <c r="E1" s="40"/>
      <c r="F1" s="40"/>
      <c r="G1" s="40"/>
      <c r="H1" s="1862" t="s">
        <v>1058</v>
      </c>
      <c r="I1" s="1862"/>
    </row>
    <row r="2" spans="1:9" ht="50.25" customHeight="1">
      <c r="A2" s="1980" t="s">
        <v>115</v>
      </c>
      <c r="B2" s="1980"/>
      <c r="C2" s="1980"/>
      <c r="D2" s="1980"/>
      <c r="E2" s="1980"/>
      <c r="F2" s="1980"/>
      <c r="G2" s="1980"/>
      <c r="H2" s="1980"/>
      <c r="I2" s="1980"/>
    </row>
    <row r="3" spans="1:9" ht="15.75" thickBot="1">
      <c r="A3" s="6"/>
      <c r="B3" s="6"/>
      <c r="C3" s="6"/>
      <c r="D3" s="6"/>
      <c r="E3" s="6"/>
      <c r="F3" s="6"/>
      <c r="G3" s="6"/>
      <c r="H3" s="6"/>
      <c r="I3" s="5" t="s">
        <v>21</v>
      </c>
    </row>
    <row r="4" spans="1:9" ht="24.75" customHeight="1" thickBot="1">
      <c r="A4" s="1981" t="s">
        <v>0</v>
      </c>
      <c r="B4" s="1983" t="s">
        <v>1</v>
      </c>
      <c r="C4" s="1985" t="s">
        <v>64</v>
      </c>
      <c r="D4" s="1987" t="s">
        <v>5</v>
      </c>
      <c r="E4" s="1987" t="s">
        <v>59</v>
      </c>
      <c r="F4" s="1989" t="s">
        <v>57</v>
      </c>
      <c r="G4" s="1990"/>
      <c r="H4" s="1987" t="s">
        <v>63</v>
      </c>
      <c r="I4" s="1981" t="s">
        <v>62</v>
      </c>
    </row>
    <row r="5" spans="1:9" ht="15" customHeight="1" thickBot="1">
      <c r="A5" s="1981"/>
      <c r="B5" s="1983"/>
      <c r="C5" s="1985"/>
      <c r="D5" s="1987"/>
      <c r="E5" s="1987"/>
      <c r="F5" s="1991" t="s">
        <v>20</v>
      </c>
      <c r="G5" s="1993" t="s">
        <v>19</v>
      </c>
      <c r="H5" s="1987"/>
      <c r="I5" s="1981"/>
    </row>
    <row r="6" spans="1:9" ht="15" customHeight="1" thickBot="1">
      <c r="A6" s="1982"/>
      <c r="B6" s="1984"/>
      <c r="C6" s="1986"/>
      <c r="D6" s="1988"/>
      <c r="E6" s="1988"/>
      <c r="F6" s="1992"/>
      <c r="G6" s="1994"/>
      <c r="H6" s="1988"/>
      <c r="I6" s="1982"/>
    </row>
    <row r="7" spans="1:9" ht="32.25" customHeight="1" thickBot="1">
      <c r="A7" s="1963" t="s">
        <v>7</v>
      </c>
      <c r="B7" s="2001" t="s">
        <v>141</v>
      </c>
      <c r="C7" s="2002"/>
      <c r="D7" s="320"/>
      <c r="E7" s="320">
        <f>SUM(E8:E11)</f>
        <v>3065000</v>
      </c>
      <c r="F7" s="320">
        <f>SUM(F8:F11)</f>
        <v>120000</v>
      </c>
      <c r="G7" s="442">
        <f>SUM(G8:G11)</f>
        <v>2945000</v>
      </c>
      <c r="H7" s="445"/>
      <c r="I7" s="438"/>
    </row>
    <row r="8" spans="1:9" ht="57.75" customHeight="1">
      <c r="A8" s="2003"/>
      <c r="B8" s="317">
        <v>60001</v>
      </c>
      <c r="C8" s="186" t="s">
        <v>187</v>
      </c>
      <c r="D8" s="318">
        <v>2710</v>
      </c>
      <c r="E8" s="319">
        <f>SUM(F8:G8)</f>
        <v>120000</v>
      </c>
      <c r="F8" s="319">
        <v>120000</v>
      </c>
      <c r="G8" s="443">
        <v>0</v>
      </c>
      <c r="H8" s="446" t="s">
        <v>563</v>
      </c>
      <c r="I8" s="439" t="s">
        <v>564</v>
      </c>
    </row>
    <row r="9" spans="1:9" ht="92.25" customHeight="1">
      <c r="A9" s="2004"/>
      <c r="B9" s="2006" t="s">
        <v>120</v>
      </c>
      <c r="C9" s="2009" t="s">
        <v>170</v>
      </c>
      <c r="D9" s="1995">
        <v>6300</v>
      </c>
      <c r="E9" s="1220">
        <f>SUM(F9:G9)</f>
        <v>545000</v>
      </c>
      <c r="F9" s="1220">
        <v>0</v>
      </c>
      <c r="G9" s="1221">
        <v>545000</v>
      </c>
      <c r="H9" s="1222" t="s">
        <v>172</v>
      </c>
      <c r="I9" s="1223" t="s">
        <v>189</v>
      </c>
    </row>
    <row r="10" spans="1:9" ht="55.5" customHeight="1">
      <c r="A10" s="2005"/>
      <c r="B10" s="2007"/>
      <c r="C10" s="2010"/>
      <c r="D10" s="1996"/>
      <c r="E10" s="1220">
        <f>SUM(F10:G10)</f>
        <v>900000</v>
      </c>
      <c r="F10" s="1224">
        <v>0</v>
      </c>
      <c r="G10" s="1225">
        <v>900000</v>
      </c>
      <c r="H10" s="1226" t="s">
        <v>171</v>
      </c>
      <c r="I10" s="1227" t="s">
        <v>190</v>
      </c>
    </row>
    <row r="11" spans="1:9" ht="46.5" customHeight="1" thickBot="1">
      <c r="A11" s="1964"/>
      <c r="B11" s="2008"/>
      <c r="C11" s="2011"/>
      <c r="D11" s="1997"/>
      <c r="E11" s="1228">
        <f>SUM(F11:G11)</f>
        <v>1500000</v>
      </c>
      <c r="F11" s="1228">
        <v>0</v>
      </c>
      <c r="G11" s="1229">
        <v>1500000</v>
      </c>
      <c r="H11" s="1230" t="s">
        <v>188</v>
      </c>
      <c r="I11" s="1210" t="s">
        <v>191</v>
      </c>
    </row>
    <row r="12" spans="1:9" ht="33.75" customHeight="1" thickBot="1">
      <c r="A12" s="1963" t="s">
        <v>273</v>
      </c>
      <c r="B12" s="1998" t="s">
        <v>274</v>
      </c>
      <c r="C12" s="1999"/>
      <c r="D12" s="314"/>
      <c r="E12" s="315">
        <f>SUM(E13:E13)</f>
        <v>150000</v>
      </c>
      <c r="F12" s="315">
        <f>SUM(F13:F13)</f>
        <v>0</v>
      </c>
      <c r="G12" s="444">
        <f>SUM(G13:G13)</f>
        <v>150000</v>
      </c>
      <c r="H12" s="447"/>
      <c r="I12" s="440"/>
    </row>
    <row r="13" spans="1:9" ht="55.5" customHeight="1" thickBot="1">
      <c r="A13" s="1964"/>
      <c r="B13" s="292" t="s">
        <v>275</v>
      </c>
      <c r="C13" s="316" t="s">
        <v>213</v>
      </c>
      <c r="D13" s="190">
        <v>6300</v>
      </c>
      <c r="E13" s="191">
        <f>SUM(F13:G13)</f>
        <v>150000</v>
      </c>
      <c r="F13" s="191">
        <v>0</v>
      </c>
      <c r="G13" s="313">
        <v>150000</v>
      </c>
      <c r="H13" s="448" t="s">
        <v>113</v>
      </c>
      <c r="I13" s="441" t="s">
        <v>572</v>
      </c>
    </row>
    <row r="14" spans="1:9" ht="48" customHeight="1" thickBot="1">
      <c r="A14" s="1967" t="s">
        <v>10</v>
      </c>
      <c r="B14" s="1998" t="s">
        <v>17</v>
      </c>
      <c r="C14" s="1999"/>
      <c r="D14" s="314"/>
      <c r="E14" s="315">
        <f>SUM(E15:E16)</f>
        <v>800000</v>
      </c>
      <c r="F14" s="315">
        <f>SUM(F15:F16)</f>
        <v>600000</v>
      </c>
      <c r="G14" s="444">
        <f>SUM(G15:G16)</f>
        <v>200000</v>
      </c>
      <c r="H14" s="447"/>
      <c r="I14" s="440"/>
    </row>
    <row r="15" spans="1:9" ht="61.5" customHeight="1" thickBot="1">
      <c r="A15" s="2012"/>
      <c r="B15" s="292" t="s">
        <v>112</v>
      </c>
      <c r="C15" s="188" t="s">
        <v>114</v>
      </c>
      <c r="D15" s="190">
        <v>2710</v>
      </c>
      <c r="E15" s="191">
        <f>SUM(F15:G15)</f>
        <v>600000</v>
      </c>
      <c r="F15" s="313">
        <f>500000+100000</f>
        <v>600000</v>
      </c>
      <c r="G15" s="313"/>
      <c r="H15" s="448" t="s">
        <v>113</v>
      </c>
      <c r="I15" s="441" t="s">
        <v>164</v>
      </c>
    </row>
    <row r="16" spans="1:9" ht="43.5" customHeight="1" thickBot="1">
      <c r="A16" s="1968"/>
      <c r="B16" s="292" t="s">
        <v>212</v>
      </c>
      <c r="C16" s="188" t="s">
        <v>213</v>
      </c>
      <c r="D16" s="190">
        <v>6300</v>
      </c>
      <c r="E16" s="185">
        <f>SUM(F16:G16)</f>
        <v>200000</v>
      </c>
      <c r="F16" s="189"/>
      <c r="G16" s="313">
        <v>200000</v>
      </c>
      <c r="H16" s="448" t="s">
        <v>214</v>
      </c>
      <c r="I16" s="441" t="s">
        <v>215</v>
      </c>
    </row>
    <row r="17" spans="1:9" ht="30" customHeight="1" thickBot="1">
      <c r="A17" s="2000" t="s">
        <v>61</v>
      </c>
      <c r="B17" s="2000"/>
      <c r="C17" s="2000"/>
      <c r="D17" s="130"/>
      <c r="E17" s="130">
        <f>SUM(E7,E12,E14)</f>
        <v>4015000</v>
      </c>
      <c r="F17" s="130">
        <f>SUM(F7,F12,F14)</f>
        <v>720000</v>
      </c>
      <c r="G17" s="437">
        <f>SUM(G7,G12,G14)</f>
        <v>3295000</v>
      </c>
      <c r="H17" s="130"/>
      <c r="I17" s="131"/>
    </row>
    <row r="30" spans="1:9">
      <c r="D30" s="101"/>
    </row>
  </sheetData>
  <mergeCells count="22">
    <mergeCell ref="D9:D11"/>
    <mergeCell ref="B14:C14"/>
    <mergeCell ref="A17:C17"/>
    <mergeCell ref="B7:C7"/>
    <mergeCell ref="B12:C12"/>
    <mergeCell ref="A12:A13"/>
    <mergeCell ref="A7:A11"/>
    <mergeCell ref="B9:B11"/>
    <mergeCell ref="C9:C11"/>
    <mergeCell ref="A14:A16"/>
    <mergeCell ref="H1:I1"/>
    <mergeCell ref="A2:I2"/>
    <mergeCell ref="A4:A6"/>
    <mergeCell ref="B4:B6"/>
    <mergeCell ref="C4:C6"/>
    <mergeCell ref="E4:E6"/>
    <mergeCell ref="H4:H6"/>
    <mergeCell ref="I4:I6"/>
    <mergeCell ref="D4:D6"/>
    <mergeCell ref="F4:G4"/>
    <mergeCell ref="F5:F6"/>
    <mergeCell ref="G5:G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Strona &amp;P z &amp;N</oddFooter>
  </headerFooter>
  <rowBreaks count="1" manualBreakCount="1">
    <brk id="11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I23"/>
  <sheetViews>
    <sheetView view="pageBreakPreview" zoomScaleNormal="100" zoomScaleSheetLayoutView="100" workbookViewId="0">
      <selection activeCell="H1" sqref="H1:I1"/>
    </sheetView>
  </sheetViews>
  <sheetFormatPr defaultRowHeight="12.75"/>
  <cols>
    <col min="1" max="1" width="8.28515625" style="1" customWidth="1"/>
    <col min="2" max="2" width="10.5703125" style="1" customWidth="1"/>
    <col min="3" max="3" width="15.140625" style="1" customWidth="1"/>
    <col min="4" max="4" width="12.28515625" style="1" customWidth="1"/>
    <col min="5" max="6" width="12" style="1" customWidth="1"/>
    <col min="7" max="8" width="13.85546875" style="1" customWidth="1"/>
    <col min="9" max="9" width="51.5703125" style="1" customWidth="1"/>
    <col min="10" max="257" width="9.140625" style="1"/>
    <col min="258" max="258" width="8.28515625" style="1" customWidth="1"/>
    <col min="259" max="259" width="10.5703125" style="1" customWidth="1"/>
    <col min="260" max="260" width="15.140625" style="1" customWidth="1"/>
    <col min="261" max="262" width="12" style="1" customWidth="1"/>
    <col min="263" max="264" width="13.85546875" style="1" customWidth="1"/>
    <col min="265" max="265" width="51.5703125" style="1" customWidth="1"/>
    <col min="266" max="513" width="9.140625" style="1"/>
    <col min="514" max="514" width="8.28515625" style="1" customWidth="1"/>
    <col min="515" max="515" width="10.5703125" style="1" customWidth="1"/>
    <col min="516" max="516" width="15.140625" style="1" customWidth="1"/>
    <col min="517" max="518" width="12" style="1" customWidth="1"/>
    <col min="519" max="520" width="13.85546875" style="1" customWidth="1"/>
    <col min="521" max="521" width="51.5703125" style="1" customWidth="1"/>
    <col min="522" max="769" width="9.140625" style="1"/>
    <col min="770" max="770" width="8.28515625" style="1" customWidth="1"/>
    <col min="771" max="771" width="10.5703125" style="1" customWidth="1"/>
    <col min="772" max="772" width="15.140625" style="1" customWidth="1"/>
    <col min="773" max="774" width="12" style="1" customWidth="1"/>
    <col min="775" max="776" width="13.85546875" style="1" customWidth="1"/>
    <col min="777" max="777" width="51.5703125" style="1" customWidth="1"/>
    <col min="778" max="1025" width="9.140625" style="1"/>
    <col min="1026" max="1026" width="8.28515625" style="1" customWidth="1"/>
    <col min="1027" max="1027" width="10.5703125" style="1" customWidth="1"/>
    <col min="1028" max="1028" width="15.140625" style="1" customWidth="1"/>
    <col min="1029" max="1030" width="12" style="1" customWidth="1"/>
    <col min="1031" max="1032" width="13.85546875" style="1" customWidth="1"/>
    <col min="1033" max="1033" width="51.5703125" style="1" customWidth="1"/>
    <col min="1034" max="1281" width="9.140625" style="1"/>
    <col min="1282" max="1282" width="8.28515625" style="1" customWidth="1"/>
    <col min="1283" max="1283" width="10.5703125" style="1" customWidth="1"/>
    <col min="1284" max="1284" width="15.140625" style="1" customWidth="1"/>
    <col min="1285" max="1286" width="12" style="1" customWidth="1"/>
    <col min="1287" max="1288" width="13.85546875" style="1" customWidth="1"/>
    <col min="1289" max="1289" width="51.5703125" style="1" customWidth="1"/>
    <col min="1290" max="1537" width="9.140625" style="1"/>
    <col min="1538" max="1538" width="8.28515625" style="1" customWidth="1"/>
    <col min="1539" max="1539" width="10.5703125" style="1" customWidth="1"/>
    <col min="1540" max="1540" width="15.140625" style="1" customWidth="1"/>
    <col min="1541" max="1542" width="12" style="1" customWidth="1"/>
    <col min="1543" max="1544" width="13.85546875" style="1" customWidth="1"/>
    <col min="1545" max="1545" width="51.5703125" style="1" customWidth="1"/>
    <col min="1546" max="1793" width="9.140625" style="1"/>
    <col min="1794" max="1794" width="8.28515625" style="1" customWidth="1"/>
    <col min="1795" max="1795" width="10.5703125" style="1" customWidth="1"/>
    <col min="1796" max="1796" width="15.140625" style="1" customWidth="1"/>
    <col min="1797" max="1798" width="12" style="1" customWidth="1"/>
    <col min="1799" max="1800" width="13.85546875" style="1" customWidth="1"/>
    <col min="1801" max="1801" width="51.5703125" style="1" customWidth="1"/>
    <col min="1802" max="2049" width="9.140625" style="1"/>
    <col min="2050" max="2050" width="8.28515625" style="1" customWidth="1"/>
    <col min="2051" max="2051" width="10.5703125" style="1" customWidth="1"/>
    <col min="2052" max="2052" width="15.140625" style="1" customWidth="1"/>
    <col min="2053" max="2054" width="12" style="1" customWidth="1"/>
    <col min="2055" max="2056" width="13.85546875" style="1" customWidth="1"/>
    <col min="2057" max="2057" width="51.5703125" style="1" customWidth="1"/>
    <col min="2058" max="2305" width="9.140625" style="1"/>
    <col min="2306" max="2306" width="8.28515625" style="1" customWidth="1"/>
    <col min="2307" max="2307" width="10.5703125" style="1" customWidth="1"/>
    <col min="2308" max="2308" width="15.140625" style="1" customWidth="1"/>
    <col min="2309" max="2310" width="12" style="1" customWidth="1"/>
    <col min="2311" max="2312" width="13.85546875" style="1" customWidth="1"/>
    <col min="2313" max="2313" width="51.5703125" style="1" customWidth="1"/>
    <col min="2314" max="2561" width="9.140625" style="1"/>
    <col min="2562" max="2562" width="8.28515625" style="1" customWidth="1"/>
    <col min="2563" max="2563" width="10.5703125" style="1" customWidth="1"/>
    <col min="2564" max="2564" width="15.140625" style="1" customWidth="1"/>
    <col min="2565" max="2566" width="12" style="1" customWidth="1"/>
    <col min="2567" max="2568" width="13.85546875" style="1" customWidth="1"/>
    <col min="2569" max="2569" width="51.5703125" style="1" customWidth="1"/>
    <col min="2570" max="2817" width="9.140625" style="1"/>
    <col min="2818" max="2818" width="8.28515625" style="1" customWidth="1"/>
    <col min="2819" max="2819" width="10.5703125" style="1" customWidth="1"/>
    <col min="2820" max="2820" width="15.140625" style="1" customWidth="1"/>
    <col min="2821" max="2822" width="12" style="1" customWidth="1"/>
    <col min="2823" max="2824" width="13.85546875" style="1" customWidth="1"/>
    <col min="2825" max="2825" width="51.5703125" style="1" customWidth="1"/>
    <col min="2826" max="3073" width="9.140625" style="1"/>
    <col min="3074" max="3074" width="8.28515625" style="1" customWidth="1"/>
    <col min="3075" max="3075" width="10.5703125" style="1" customWidth="1"/>
    <col min="3076" max="3076" width="15.140625" style="1" customWidth="1"/>
    <col min="3077" max="3078" width="12" style="1" customWidth="1"/>
    <col min="3079" max="3080" width="13.85546875" style="1" customWidth="1"/>
    <col min="3081" max="3081" width="51.5703125" style="1" customWidth="1"/>
    <col min="3082" max="3329" width="9.140625" style="1"/>
    <col min="3330" max="3330" width="8.28515625" style="1" customWidth="1"/>
    <col min="3331" max="3331" width="10.5703125" style="1" customWidth="1"/>
    <col min="3332" max="3332" width="15.140625" style="1" customWidth="1"/>
    <col min="3333" max="3334" width="12" style="1" customWidth="1"/>
    <col min="3335" max="3336" width="13.85546875" style="1" customWidth="1"/>
    <col min="3337" max="3337" width="51.5703125" style="1" customWidth="1"/>
    <col min="3338" max="3585" width="9.140625" style="1"/>
    <col min="3586" max="3586" width="8.28515625" style="1" customWidth="1"/>
    <col min="3587" max="3587" width="10.5703125" style="1" customWidth="1"/>
    <col min="3588" max="3588" width="15.140625" style="1" customWidth="1"/>
    <col min="3589" max="3590" width="12" style="1" customWidth="1"/>
    <col min="3591" max="3592" width="13.85546875" style="1" customWidth="1"/>
    <col min="3593" max="3593" width="51.5703125" style="1" customWidth="1"/>
    <col min="3594" max="3841" width="9.140625" style="1"/>
    <col min="3842" max="3842" width="8.28515625" style="1" customWidth="1"/>
    <col min="3843" max="3843" width="10.5703125" style="1" customWidth="1"/>
    <col min="3844" max="3844" width="15.140625" style="1" customWidth="1"/>
    <col min="3845" max="3846" width="12" style="1" customWidth="1"/>
    <col min="3847" max="3848" width="13.85546875" style="1" customWidth="1"/>
    <col min="3849" max="3849" width="51.5703125" style="1" customWidth="1"/>
    <col min="3850" max="4097" width="9.140625" style="1"/>
    <col min="4098" max="4098" width="8.28515625" style="1" customWidth="1"/>
    <col min="4099" max="4099" width="10.5703125" style="1" customWidth="1"/>
    <col min="4100" max="4100" width="15.140625" style="1" customWidth="1"/>
    <col min="4101" max="4102" width="12" style="1" customWidth="1"/>
    <col min="4103" max="4104" width="13.85546875" style="1" customWidth="1"/>
    <col min="4105" max="4105" width="51.5703125" style="1" customWidth="1"/>
    <col min="4106" max="4353" width="9.140625" style="1"/>
    <col min="4354" max="4354" width="8.28515625" style="1" customWidth="1"/>
    <col min="4355" max="4355" width="10.5703125" style="1" customWidth="1"/>
    <col min="4356" max="4356" width="15.140625" style="1" customWidth="1"/>
    <col min="4357" max="4358" width="12" style="1" customWidth="1"/>
    <col min="4359" max="4360" width="13.85546875" style="1" customWidth="1"/>
    <col min="4361" max="4361" width="51.5703125" style="1" customWidth="1"/>
    <col min="4362" max="4609" width="9.140625" style="1"/>
    <col min="4610" max="4610" width="8.28515625" style="1" customWidth="1"/>
    <col min="4611" max="4611" width="10.5703125" style="1" customWidth="1"/>
    <col min="4612" max="4612" width="15.140625" style="1" customWidth="1"/>
    <col min="4613" max="4614" width="12" style="1" customWidth="1"/>
    <col min="4615" max="4616" width="13.85546875" style="1" customWidth="1"/>
    <col min="4617" max="4617" width="51.5703125" style="1" customWidth="1"/>
    <col min="4618" max="4865" width="9.140625" style="1"/>
    <col min="4866" max="4866" width="8.28515625" style="1" customWidth="1"/>
    <col min="4867" max="4867" width="10.5703125" style="1" customWidth="1"/>
    <col min="4868" max="4868" width="15.140625" style="1" customWidth="1"/>
    <col min="4869" max="4870" width="12" style="1" customWidth="1"/>
    <col min="4871" max="4872" width="13.85546875" style="1" customWidth="1"/>
    <col min="4873" max="4873" width="51.5703125" style="1" customWidth="1"/>
    <col min="4874" max="5121" width="9.140625" style="1"/>
    <col min="5122" max="5122" width="8.28515625" style="1" customWidth="1"/>
    <col min="5123" max="5123" width="10.5703125" style="1" customWidth="1"/>
    <col min="5124" max="5124" width="15.140625" style="1" customWidth="1"/>
    <col min="5125" max="5126" width="12" style="1" customWidth="1"/>
    <col min="5127" max="5128" width="13.85546875" style="1" customWidth="1"/>
    <col min="5129" max="5129" width="51.5703125" style="1" customWidth="1"/>
    <col min="5130" max="5377" width="9.140625" style="1"/>
    <col min="5378" max="5378" width="8.28515625" style="1" customWidth="1"/>
    <col min="5379" max="5379" width="10.5703125" style="1" customWidth="1"/>
    <col min="5380" max="5380" width="15.140625" style="1" customWidth="1"/>
    <col min="5381" max="5382" width="12" style="1" customWidth="1"/>
    <col min="5383" max="5384" width="13.85546875" style="1" customWidth="1"/>
    <col min="5385" max="5385" width="51.5703125" style="1" customWidth="1"/>
    <col min="5386" max="5633" width="9.140625" style="1"/>
    <col min="5634" max="5634" width="8.28515625" style="1" customWidth="1"/>
    <col min="5635" max="5635" width="10.5703125" style="1" customWidth="1"/>
    <col min="5636" max="5636" width="15.140625" style="1" customWidth="1"/>
    <col min="5637" max="5638" width="12" style="1" customWidth="1"/>
    <col min="5639" max="5640" width="13.85546875" style="1" customWidth="1"/>
    <col min="5641" max="5641" width="51.5703125" style="1" customWidth="1"/>
    <col min="5642" max="5889" width="9.140625" style="1"/>
    <col min="5890" max="5890" width="8.28515625" style="1" customWidth="1"/>
    <col min="5891" max="5891" width="10.5703125" style="1" customWidth="1"/>
    <col min="5892" max="5892" width="15.140625" style="1" customWidth="1"/>
    <col min="5893" max="5894" width="12" style="1" customWidth="1"/>
    <col min="5895" max="5896" width="13.85546875" style="1" customWidth="1"/>
    <col min="5897" max="5897" width="51.5703125" style="1" customWidth="1"/>
    <col min="5898" max="6145" width="9.140625" style="1"/>
    <col min="6146" max="6146" width="8.28515625" style="1" customWidth="1"/>
    <col min="6147" max="6147" width="10.5703125" style="1" customWidth="1"/>
    <col min="6148" max="6148" width="15.140625" style="1" customWidth="1"/>
    <col min="6149" max="6150" width="12" style="1" customWidth="1"/>
    <col min="6151" max="6152" width="13.85546875" style="1" customWidth="1"/>
    <col min="6153" max="6153" width="51.5703125" style="1" customWidth="1"/>
    <col min="6154" max="6401" width="9.140625" style="1"/>
    <col min="6402" max="6402" width="8.28515625" style="1" customWidth="1"/>
    <col min="6403" max="6403" width="10.5703125" style="1" customWidth="1"/>
    <col min="6404" max="6404" width="15.140625" style="1" customWidth="1"/>
    <col min="6405" max="6406" width="12" style="1" customWidth="1"/>
    <col min="6407" max="6408" width="13.85546875" style="1" customWidth="1"/>
    <col min="6409" max="6409" width="51.5703125" style="1" customWidth="1"/>
    <col min="6410" max="6657" width="9.140625" style="1"/>
    <col min="6658" max="6658" width="8.28515625" style="1" customWidth="1"/>
    <col min="6659" max="6659" width="10.5703125" style="1" customWidth="1"/>
    <col min="6660" max="6660" width="15.140625" style="1" customWidth="1"/>
    <col min="6661" max="6662" width="12" style="1" customWidth="1"/>
    <col min="6663" max="6664" width="13.85546875" style="1" customWidth="1"/>
    <col min="6665" max="6665" width="51.5703125" style="1" customWidth="1"/>
    <col min="6666" max="6913" width="9.140625" style="1"/>
    <col min="6914" max="6914" width="8.28515625" style="1" customWidth="1"/>
    <col min="6915" max="6915" width="10.5703125" style="1" customWidth="1"/>
    <col min="6916" max="6916" width="15.140625" style="1" customWidth="1"/>
    <col min="6917" max="6918" width="12" style="1" customWidth="1"/>
    <col min="6919" max="6920" width="13.85546875" style="1" customWidth="1"/>
    <col min="6921" max="6921" width="51.5703125" style="1" customWidth="1"/>
    <col min="6922" max="7169" width="9.140625" style="1"/>
    <col min="7170" max="7170" width="8.28515625" style="1" customWidth="1"/>
    <col min="7171" max="7171" width="10.5703125" style="1" customWidth="1"/>
    <col min="7172" max="7172" width="15.140625" style="1" customWidth="1"/>
    <col min="7173" max="7174" width="12" style="1" customWidth="1"/>
    <col min="7175" max="7176" width="13.85546875" style="1" customWidth="1"/>
    <col min="7177" max="7177" width="51.5703125" style="1" customWidth="1"/>
    <col min="7178" max="7425" width="9.140625" style="1"/>
    <col min="7426" max="7426" width="8.28515625" style="1" customWidth="1"/>
    <col min="7427" max="7427" width="10.5703125" style="1" customWidth="1"/>
    <col min="7428" max="7428" width="15.140625" style="1" customWidth="1"/>
    <col min="7429" max="7430" width="12" style="1" customWidth="1"/>
    <col min="7431" max="7432" width="13.85546875" style="1" customWidth="1"/>
    <col min="7433" max="7433" width="51.5703125" style="1" customWidth="1"/>
    <col min="7434" max="7681" width="9.140625" style="1"/>
    <col min="7682" max="7682" width="8.28515625" style="1" customWidth="1"/>
    <col min="7683" max="7683" width="10.5703125" style="1" customWidth="1"/>
    <col min="7684" max="7684" width="15.140625" style="1" customWidth="1"/>
    <col min="7685" max="7686" width="12" style="1" customWidth="1"/>
    <col min="7687" max="7688" width="13.85546875" style="1" customWidth="1"/>
    <col min="7689" max="7689" width="51.5703125" style="1" customWidth="1"/>
    <col min="7690" max="7937" width="9.140625" style="1"/>
    <col min="7938" max="7938" width="8.28515625" style="1" customWidth="1"/>
    <col min="7939" max="7939" width="10.5703125" style="1" customWidth="1"/>
    <col min="7940" max="7940" width="15.140625" style="1" customWidth="1"/>
    <col min="7941" max="7942" width="12" style="1" customWidth="1"/>
    <col min="7943" max="7944" width="13.85546875" style="1" customWidth="1"/>
    <col min="7945" max="7945" width="51.5703125" style="1" customWidth="1"/>
    <col min="7946" max="8193" width="9.140625" style="1"/>
    <col min="8194" max="8194" width="8.28515625" style="1" customWidth="1"/>
    <col min="8195" max="8195" width="10.5703125" style="1" customWidth="1"/>
    <col min="8196" max="8196" width="15.140625" style="1" customWidth="1"/>
    <col min="8197" max="8198" width="12" style="1" customWidth="1"/>
    <col min="8199" max="8200" width="13.85546875" style="1" customWidth="1"/>
    <col min="8201" max="8201" width="51.5703125" style="1" customWidth="1"/>
    <col min="8202" max="8449" width="9.140625" style="1"/>
    <col min="8450" max="8450" width="8.28515625" style="1" customWidth="1"/>
    <col min="8451" max="8451" width="10.5703125" style="1" customWidth="1"/>
    <col min="8452" max="8452" width="15.140625" style="1" customWidth="1"/>
    <col min="8453" max="8454" width="12" style="1" customWidth="1"/>
    <col min="8455" max="8456" width="13.85546875" style="1" customWidth="1"/>
    <col min="8457" max="8457" width="51.5703125" style="1" customWidth="1"/>
    <col min="8458" max="8705" width="9.140625" style="1"/>
    <col min="8706" max="8706" width="8.28515625" style="1" customWidth="1"/>
    <col min="8707" max="8707" width="10.5703125" style="1" customWidth="1"/>
    <col min="8708" max="8708" width="15.140625" style="1" customWidth="1"/>
    <col min="8709" max="8710" width="12" style="1" customWidth="1"/>
    <col min="8711" max="8712" width="13.85546875" style="1" customWidth="1"/>
    <col min="8713" max="8713" width="51.5703125" style="1" customWidth="1"/>
    <col min="8714" max="8961" width="9.140625" style="1"/>
    <col min="8962" max="8962" width="8.28515625" style="1" customWidth="1"/>
    <col min="8963" max="8963" width="10.5703125" style="1" customWidth="1"/>
    <col min="8964" max="8964" width="15.140625" style="1" customWidth="1"/>
    <col min="8965" max="8966" width="12" style="1" customWidth="1"/>
    <col min="8967" max="8968" width="13.85546875" style="1" customWidth="1"/>
    <col min="8969" max="8969" width="51.5703125" style="1" customWidth="1"/>
    <col min="8970" max="9217" width="9.140625" style="1"/>
    <col min="9218" max="9218" width="8.28515625" style="1" customWidth="1"/>
    <col min="9219" max="9219" width="10.5703125" style="1" customWidth="1"/>
    <col min="9220" max="9220" width="15.140625" style="1" customWidth="1"/>
    <col min="9221" max="9222" width="12" style="1" customWidth="1"/>
    <col min="9223" max="9224" width="13.85546875" style="1" customWidth="1"/>
    <col min="9225" max="9225" width="51.5703125" style="1" customWidth="1"/>
    <col min="9226" max="9473" width="9.140625" style="1"/>
    <col min="9474" max="9474" width="8.28515625" style="1" customWidth="1"/>
    <col min="9475" max="9475" width="10.5703125" style="1" customWidth="1"/>
    <col min="9476" max="9476" width="15.140625" style="1" customWidth="1"/>
    <col min="9477" max="9478" width="12" style="1" customWidth="1"/>
    <col min="9479" max="9480" width="13.85546875" style="1" customWidth="1"/>
    <col min="9481" max="9481" width="51.5703125" style="1" customWidth="1"/>
    <col min="9482" max="9729" width="9.140625" style="1"/>
    <col min="9730" max="9730" width="8.28515625" style="1" customWidth="1"/>
    <col min="9731" max="9731" width="10.5703125" style="1" customWidth="1"/>
    <col min="9732" max="9732" width="15.140625" style="1" customWidth="1"/>
    <col min="9733" max="9734" width="12" style="1" customWidth="1"/>
    <col min="9735" max="9736" width="13.85546875" style="1" customWidth="1"/>
    <col min="9737" max="9737" width="51.5703125" style="1" customWidth="1"/>
    <col min="9738" max="9985" width="9.140625" style="1"/>
    <col min="9986" max="9986" width="8.28515625" style="1" customWidth="1"/>
    <col min="9987" max="9987" width="10.5703125" style="1" customWidth="1"/>
    <col min="9988" max="9988" width="15.140625" style="1" customWidth="1"/>
    <col min="9989" max="9990" width="12" style="1" customWidth="1"/>
    <col min="9991" max="9992" width="13.85546875" style="1" customWidth="1"/>
    <col min="9993" max="9993" width="51.5703125" style="1" customWidth="1"/>
    <col min="9994" max="10241" width="9.140625" style="1"/>
    <col min="10242" max="10242" width="8.28515625" style="1" customWidth="1"/>
    <col min="10243" max="10243" width="10.5703125" style="1" customWidth="1"/>
    <col min="10244" max="10244" width="15.140625" style="1" customWidth="1"/>
    <col min="10245" max="10246" width="12" style="1" customWidth="1"/>
    <col min="10247" max="10248" width="13.85546875" style="1" customWidth="1"/>
    <col min="10249" max="10249" width="51.5703125" style="1" customWidth="1"/>
    <col min="10250" max="10497" width="9.140625" style="1"/>
    <col min="10498" max="10498" width="8.28515625" style="1" customWidth="1"/>
    <col min="10499" max="10499" width="10.5703125" style="1" customWidth="1"/>
    <col min="10500" max="10500" width="15.140625" style="1" customWidth="1"/>
    <col min="10501" max="10502" width="12" style="1" customWidth="1"/>
    <col min="10503" max="10504" width="13.85546875" style="1" customWidth="1"/>
    <col min="10505" max="10505" width="51.5703125" style="1" customWidth="1"/>
    <col min="10506" max="10753" width="9.140625" style="1"/>
    <col min="10754" max="10754" width="8.28515625" style="1" customWidth="1"/>
    <col min="10755" max="10755" width="10.5703125" style="1" customWidth="1"/>
    <col min="10756" max="10756" width="15.140625" style="1" customWidth="1"/>
    <col min="10757" max="10758" width="12" style="1" customWidth="1"/>
    <col min="10759" max="10760" width="13.85546875" style="1" customWidth="1"/>
    <col min="10761" max="10761" width="51.5703125" style="1" customWidth="1"/>
    <col min="10762" max="11009" width="9.140625" style="1"/>
    <col min="11010" max="11010" width="8.28515625" style="1" customWidth="1"/>
    <col min="11011" max="11011" width="10.5703125" style="1" customWidth="1"/>
    <col min="11012" max="11012" width="15.140625" style="1" customWidth="1"/>
    <col min="11013" max="11014" width="12" style="1" customWidth="1"/>
    <col min="11015" max="11016" width="13.85546875" style="1" customWidth="1"/>
    <col min="11017" max="11017" width="51.5703125" style="1" customWidth="1"/>
    <col min="11018" max="11265" width="9.140625" style="1"/>
    <col min="11266" max="11266" width="8.28515625" style="1" customWidth="1"/>
    <col min="11267" max="11267" width="10.5703125" style="1" customWidth="1"/>
    <col min="11268" max="11268" width="15.140625" style="1" customWidth="1"/>
    <col min="11269" max="11270" width="12" style="1" customWidth="1"/>
    <col min="11271" max="11272" width="13.85546875" style="1" customWidth="1"/>
    <col min="11273" max="11273" width="51.5703125" style="1" customWidth="1"/>
    <col min="11274" max="11521" width="9.140625" style="1"/>
    <col min="11522" max="11522" width="8.28515625" style="1" customWidth="1"/>
    <col min="11523" max="11523" width="10.5703125" style="1" customWidth="1"/>
    <col min="11524" max="11524" width="15.140625" style="1" customWidth="1"/>
    <col min="11525" max="11526" width="12" style="1" customWidth="1"/>
    <col min="11527" max="11528" width="13.85546875" style="1" customWidth="1"/>
    <col min="11529" max="11529" width="51.5703125" style="1" customWidth="1"/>
    <col min="11530" max="11777" width="9.140625" style="1"/>
    <col min="11778" max="11778" width="8.28515625" style="1" customWidth="1"/>
    <col min="11779" max="11779" width="10.5703125" style="1" customWidth="1"/>
    <col min="11780" max="11780" width="15.140625" style="1" customWidth="1"/>
    <col min="11781" max="11782" width="12" style="1" customWidth="1"/>
    <col min="11783" max="11784" width="13.85546875" style="1" customWidth="1"/>
    <col min="11785" max="11785" width="51.5703125" style="1" customWidth="1"/>
    <col min="11786" max="12033" width="9.140625" style="1"/>
    <col min="12034" max="12034" width="8.28515625" style="1" customWidth="1"/>
    <col min="12035" max="12035" width="10.5703125" style="1" customWidth="1"/>
    <col min="12036" max="12036" width="15.140625" style="1" customWidth="1"/>
    <col min="12037" max="12038" width="12" style="1" customWidth="1"/>
    <col min="12039" max="12040" width="13.85546875" style="1" customWidth="1"/>
    <col min="12041" max="12041" width="51.5703125" style="1" customWidth="1"/>
    <col min="12042" max="12289" width="9.140625" style="1"/>
    <col min="12290" max="12290" width="8.28515625" style="1" customWidth="1"/>
    <col min="12291" max="12291" width="10.5703125" style="1" customWidth="1"/>
    <col min="12292" max="12292" width="15.140625" style="1" customWidth="1"/>
    <col min="12293" max="12294" width="12" style="1" customWidth="1"/>
    <col min="12295" max="12296" width="13.85546875" style="1" customWidth="1"/>
    <col min="12297" max="12297" width="51.5703125" style="1" customWidth="1"/>
    <col min="12298" max="12545" width="9.140625" style="1"/>
    <col min="12546" max="12546" width="8.28515625" style="1" customWidth="1"/>
    <col min="12547" max="12547" width="10.5703125" style="1" customWidth="1"/>
    <col min="12548" max="12548" width="15.140625" style="1" customWidth="1"/>
    <col min="12549" max="12550" width="12" style="1" customWidth="1"/>
    <col min="12551" max="12552" width="13.85546875" style="1" customWidth="1"/>
    <col min="12553" max="12553" width="51.5703125" style="1" customWidth="1"/>
    <col min="12554" max="12801" width="9.140625" style="1"/>
    <col min="12802" max="12802" width="8.28515625" style="1" customWidth="1"/>
    <col min="12803" max="12803" width="10.5703125" style="1" customWidth="1"/>
    <col min="12804" max="12804" width="15.140625" style="1" customWidth="1"/>
    <col min="12805" max="12806" width="12" style="1" customWidth="1"/>
    <col min="12807" max="12808" width="13.85546875" style="1" customWidth="1"/>
    <col min="12809" max="12809" width="51.5703125" style="1" customWidth="1"/>
    <col min="12810" max="13057" width="9.140625" style="1"/>
    <col min="13058" max="13058" width="8.28515625" style="1" customWidth="1"/>
    <col min="13059" max="13059" width="10.5703125" style="1" customWidth="1"/>
    <col min="13060" max="13060" width="15.140625" style="1" customWidth="1"/>
    <col min="13061" max="13062" width="12" style="1" customWidth="1"/>
    <col min="13063" max="13064" width="13.85546875" style="1" customWidth="1"/>
    <col min="13065" max="13065" width="51.5703125" style="1" customWidth="1"/>
    <col min="13066" max="13313" width="9.140625" style="1"/>
    <col min="13314" max="13314" width="8.28515625" style="1" customWidth="1"/>
    <col min="13315" max="13315" width="10.5703125" style="1" customWidth="1"/>
    <col min="13316" max="13316" width="15.140625" style="1" customWidth="1"/>
    <col min="13317" max="13318" width="12" style="1" customWidth="1"/>
    <col min="13319" max="13320" width="13.85546875" style="1" customWidth="1"/>
    <col min="13321" max="13321" width="51.5703125" style="1" customWidth="1"/>
    <col min="13322" max="13569" width="9.140625" style="1"/>
    <col min="13570" max="13570" width="8.28515625" style="1" customWidth="1"/>
    <col min="13571" max="13571" width="10.5703125" style="1" customWidth="1"/>
    <col min="13572" max="13572" width="15.140625" style="1" customWidth="1"/>
    <col min="13573" max="13574" width="12" style="1" customWidth="1"/>
    <col min="13575" max="13576" width="13.85546875" style="1" customWidth="1"/>
    <col min="13577" max="13577" width="51.5703125" style="1" customWidth="1"/>
    <col min="13578" max="13825" width="9.140625" style="1"/>
    <col min="13826" max="13826" width="8.28515625" style="1" customWidth="1"/>
    <col min="13827" max="13827" width="10.5703125" style="1" customWidth="1"/>
    <col min="13828" max="13828" width="15.140625" style="1" customWidth="1"/>
    <col min="13829" max="13830" width="12" style="1" customWidth="1"/>
    <col min="13831" max="13832" width="13.85546875" style="1" customWidth="1"/>
    <col min="13833" max="13833" width="51.5703125" style="1" customWidth="1"/>
    <col min="13834" max="14081" width="9.140625" style="1"/>
    <col min="14082" max="14082" width="8.28515625" style="1" customWidth="1"/>
    <col min="14083" max="14083" width="10.5703125" style="1" customWidth="1"/>
    <col min="14084" max="14084" width="15.140625" style="1" customWidth="1"/>
    <col min="14085" max="14086" width="12" style="1" customWidth="1"/>
    <col min="14087" max="14088" width="13.85546875" style="1" customWidth="1"/>
    <col min="14089" max="14089" width="51.5703125" style="1" customWidth="1"/>
    <col min="14090" max="14337" width="9.140625" style="1"/>
    <col min="14338" max="14338" width="8.28515625" style="1" customWidth="1"/>
    <col min="14339" max="14339" width="10.5703125" style="1" customWidth="1"/>
    <col min="14340" max="14340" width="15.140625" style="1" customWidth="1"/>
    <col min="14341" max="14342" width="12" style="1" customWidth="1"/>
    <col min="14343" max="14344" width="13.85546875" style="1" customWidth="1"/>
    <col min="14345" max="14345" width="51.5703125" style="1" customWidth="1"/>
    <col min="14346" max="14593" width="9.140625" style="1"/>
    <col min="14594" max="14594" width="8.28515625" style="1" customWidth="1"/>
    <col min="14595" max="14595" width="10.5703125" style="1" customWidth="1"/>
    <col min="14596" max="14596" width="15.140625" style="1" customWidth="1"/>
    <col min="14597" max="14598" width="12" style="1" customWidth="1"/>
    <col min="14599" max="14600" width="13.85546875" style="1" customWidth="1"/>
    <col min="14601" max="14601" width="51.5703125" style="1" customWidth="1"/>
    <col min="14602" max="14849" width="9.140625" style="1"/>
    <col min="14850" max="14850" width="8.28515625" style="1" customWidth="1"/>
    <col min="14851" max="14851" width="10.5703125" style="1" customWidth="1"/>
    <col min="14852" max="14852" width="15.140625" style="1" customWidth="1"/>
    <col min="14853" max="14854" width="12" style="1" customWidth="1"/>
    <col min="14855" max="14856" width="13.85546875" style="1" customWidth="1"/>
    <col min="14857" max="14857" width="51.5703125" style="1" customWidth="1"/>
    <col min="14858" max="15105" width="9.140625" style="1"/>
    <col min="15106" max="15106" width="8.28515625" style="1" customWidth="1"/>
    <col min="15107" max="15107" width="10.5703125" style="1" customWidth="1"/>
    <col min="15108" max="15108" width="15.140625" style="1" customWidth="1"/>
    <col min="15109" max="15110" width="12" style="1" customWidth="1"/>
    <col min="15111" max="15112" width="13.85546875" style="1" customWidth="1"/>
    <col min="15113" max="15113" width="51.5703125" style="1" customWidth="1"/>
    <col min="15114" max="15361" width="9.140625" style="1"/>
    <col min="15362" max="15362" width="8.28515625" style="1" customWidth="1"/>
    <col min="15363" max="15363" width="10.5703125" style="1" customWidth="1"/>
    <col min="15364" max="15364" width="15.140625" style="1" customWidth="1"/>
    <col min="15365" max="15366" width="12" style="1" customWidth="1"/>
    <col min="15367" max="15368" width="13.85546875" style="1" customWidth="1"/>
    <col min="15369" max="15369" width="51.5703125" style="1" customWidth="1"/>
    <col min="15370" max="15617" width="9.140625" style="1"/>
    <col min="15618" max="15618" width="8.28515625" style="1" customWidth="1"/>
    <col min="15619" max="15619" width="10.5703125" style="1" customWidth="1"/>
    <col min="15620" max="15620" width="15.140625" style="1" customWidth="1"/>
    <col min="15621" max="15622" width="12" style="1" customWidth="1"/>
    <col min="15623" max="15624" width="13.85546875" style="1" customWidth="1"/>
    <col min="15625" max="15625" width="51.5703125" style="1" customWidth="1"/>
    <col min="15626" max="15873" width="9.140625" style="1"/>
    <col min="15874" max="15874" width="8.28515625" style="1" customWidth="1"/>
    <col min="15875" max="15875" width="10.5703125" style="1" customWidth="1"/>
    <col min="15876" max="15876" width="15.140625" style="1" customWidth="1"/>
    <col min="15877" max="15878" width="12" style="1" customWidth="1"/>
    <col min="15879" max="15880" width="13.85546875" style="1" customWidth="1"/>
    <col min="15881" max="15881" width="51.5703125" style="1" customWidth="1"/>
    <col min="15882" max="16129" width="9.140625" style="1"/>
    <col min="16130" max="16130" width="8.28515625" style="1" customWidth="1"/>
    <col min="16131" max="16131" width="10.5703125" style="1" customWidth="1"/>
    <col min="16132" max="16132" width="15.140625" style="1" customWidth="1"/>
    <col min="16133" max="16134" width="12" style="1" customWidth="1"/>
    <col min="16135" max="16136" width="13.85546875" style="1" customWidth="1"/>
    <col min="16137" max="16137" width="51.5703125" style="1" customWidth="1"/>
    <col min="16138" max="16384" width="9.140625" style="1"/>
  </cols>
  <sheetData>
    <row r="1" spans="1:9" ht="56.25" customHeight="1">
      <c r="A1" s="35"/>
      <c r="B1" s="35"/>
      <c r="C1" s="41" t="s">
        <v>68</v>
      </c>
      <c r="D1" s="41"/>
      <c r="E1" s="40"/>
      <c r="F1" s="40"/>
      <c r="G1" s="40"/>
      <c r="H1" s="1862" t="s">
        <v>1059</v>
      </c>
      <c r="I1" s="1862"/>
    </row>
    <row r="2" spans="1:9" ht="45" customHeight="1">
      <c r="A2" s="1980" t="s">
        <v>67</v>
      </c>
      <c r="B2" s="1980"/>
      <c r="C2" s="1980"/>
      <c r="D2" s="1980"/>
      <c r="E2" s="1980"/>
      <c r="F2" s="1980"/>
      <c r="G2" s="1980"/>
      <c r="H2" s="1980"/>
      <c r="I2" s="1980"/>
    </row>
    <row r="3" spans="1:9" ht="15.75" thickBot="1">
      <c r="A3" s="6"/>
      <c r="B3" s="6"/>
      <c r="C3" s="6"/>
      <c r="D3" s="6"/>
      <c r="E3" s="6"/>
      <c r="F3" s="6"/>
      <c r="G3" s="6"/>
      <c r="H3" s="6"/>
      <c r="I3" s="5" t="s">
        <v>21</v>
      </c>
    </row>
    <row r="4" spans="1:9" ht="15.75" thickBot="1">
      <c r="A4" s="1981" t="s">
        <v>0</v>
      </c>
      <c r="B4" s="1981" t="s">
        <v>1</v>
      </c>
      <c r="C4" s="1985" t="s">
        <v>64</v>
      </c>
      <c r="D4" s="1982" t="s">
        <v>5</v>
      </c>
      <c r="E4" s="1987" t="s">
        <v>22</v>
      </c>
      <c r="F4" s="2018" t="s">
        <v>57</v>
      </c>
      <c r="G4" s="1987"/>
      <c r="H4" s="1987" t="s">
        <v>63</v>
      </c>
      <c r="I4" s="1981" t="s">
        <v>62</v>
      </c>
    </row>
    <row r="5" spans="1:9" ht="15.75" customHeight="1" thickBot="1">
      <c r="A5" s="1981"/>
      <c r="B5" s="1981"/>
      <c r="C5" s="1985"/>
      <c r="D5" s="2019"/>
      <c r="E5" s="1987"/>
      <c r="F5" s="2018" t="s">
        <v>20</v>
      </c>
      <c r="G5" s="1987" t="s">
        <v>19</v>
      </c>
      <c r="H5" s="1987"/>
      <c r="I5" s="1981"/>
    </row>
    <row r="6" spans="1:9" ht="15.75" customHeight="1" thickBot="1">
      <c r="A6" s="1981"/>
      <c r="B6" s="1981"/>
      <c r="C6" s="1985"/>
      <c r="D6" s="2020"/>
      <c r="E6" s="1987"/>
      <c r="F6" s="2018"/>
      <c r="G6" s="1987"/>
      <c r="H6" s="1987"/>
      <c r="I6" s="1981"/>
    </row>
    <row r="7" spans="1:9" ht="33.75" customHeight="1">
      <c r="A7" s="2014" t="s">
        <v>4</v>
      </c>
      <c r="B7" s="2013" t="s">
        <v>18</v>
      </c>
      <c r="C7" s="2013"/>
      <c r="D7" s="2013"/>
      <c r="E7" s="127">
        <f>SUM(E8)</f>
        <v>295610</v>
      </c>
      <c r="F7" s="127">
        <f>SUM(F8)</f>
        <v>295610</v>
      </c>
      <c r="G7" s="127">
        <f>SUM(G8)</f>
        <v>0</v>
      </c>
      <c r="H7" s="135"/>
      <c r="I7" s="136"/>
    </row>
    <row r="8" spans="1:9" ht="106.5" customHeight="1" thickBot="1">
      <c r="A8" s="2015"/>
      <c r="B8" s="132" t="s">
        <v>3</v>
      </c>
      <c r="C8" s="133" t="s">
        <v>6</v>
      </c>
      <c r="D8" s="133" t="s">
        <v>13</v>
      </c>
      <c r="E8" s="137">
        <f>SUM(F8:G8)</f>
        <v>295610</v>
      </c>
      <c r="F8" s="134">
        <v>295610</v>
      </c>
      <c r="G8" s="134">
        <v>0</v>
      </c>
      <c r="H8" s="125" t="s">
        <v>66</v>
      </c>
      <c r="I8" s="126" t="s">
        <v>65</v>
      </c>
    </row>
    <row r="9" spans="1:9" ht="23.25" customHeight="1" thickBot="1">
      <c r="A9" s="2016" t="s">
        <v>61</v>
      </c>
      <c r="B9" s="2016"/>
      <c r="C9" s="2017"/>
      <c r="D9" s="45"/>
      <c r="E9" s="44">
        <f>SUM(E7)</f>
        <v>295610</v>
      </c>
      <c r="F9" s="44">
        <f>SUM(F7)</f>
        <v>295610</v>
      </c>
      <c r="G9" s="43">
        <f>SUM(G7)</f>
        <v>0</v>
      </c>
      <c r="H9" s="29"/>
      <c r="I9" s="42"/>
    </row>
    <row r="23" spans="5:5">
      <c r="E23" s="101"/>
    </row>
  </sheetData>
  <mergeCells count="15">
    <mergeCell ref="B7:D7"/>
    <mergeCell ref="G5:G6"/>
    <mergeCell ref="A7:A8"/>
    <mergeCell ref="A9:C9"/>
    <mergeCell ref="H1:I1"/>
    <mergeCell ref="A2:I2"/>
    <mergeCell ref="A4:A6"/>
    <mergeCell ref="B4:B6"/>
    <mergeCell ref="C4:C6"/>
    <mergeCell ref="E4:E6"/>
    <mergeCell ref="F4:G4"/>
    <mergeCell ref="H4:H6"/>
    <mergeCell ref="I4:I6"/>
    <mergeCell ref="F5:F6"/>
    <mergeCell ref="D4:D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24</vt:i4>
      </vt:variant>
    </vt:vector>
  </HeadingPairs>
  <TitlesOfParts>
    <vt:vector size="41" baseType="lpstr">
      <vt:lpstr>Tabela Nr 1</vt:lpstr>
      <vt:lpstr>Tabela Nr 2</vt:lpstr>
      <vt:lpstr>Tabela Nr 3</vt:lpstr>
      <vt:lpstr>Załącznik Nr 1</vt:lpstr>
      <vt:lpstr>Załącznik Nr 2</vt:lpstr>
      <vt:lpstr>Załącznik Nr 3</vt:lpstr>
      <vt:lpstr>Załącznik Nr 4</vt:lpstr>
      <vt:lpstr>Załącznik Nr 5</vt:lpstr>
      <vt:lpstr>Załącznik Nr 6</vt:lpstr>
      <vt:lpstr>Załącznik Nr 7</vt:lpstr>
      <vt:lpstr> Załącznik Nr 8</vt:lpstr>
      <vt:lpstr>Załącznik Nr 9</vt:lpstr>
      <vt:lpstr>Załącznik Nr 10</vt:lpstr>
      <vt:lpstr>Zał Nr 11 adm.rząd.doch.</vt:lpstr>
      <vt:lpstr>Zał Nr 11 adm.rzad.wyd.</vt:lpstr>
      <vt:lpstr>Załącznik Nr 12</vt:lpstr>
      <vt:lpstr>Załącznik Nr 13</vt:lpstr>
      <vt:lpstr>' Załącznik Nr 8'!Obszar_wydruku</vt:lpstr>
      <vt:lpstr>'Tabela Nr 1'!Obszar_wydruku</vt:lpstr>
      <vt:lpstr>'Tabela Nr 2'!Obszar_wydruku</vt:lpstr>
      <vt:lpstr>'Tabela Nr 3'!Obszar_wydruku</vt:lpstr>
      <vt:lpstr>'Zał Nr 11 adm.rzad.wyd.'!Obszar_wydruku</vt:lpstr>
      <vt:lpstr>'Zał Nr 11 adm.rząd.doch.'!Obszar_wydruku</vt:lpstr>
      <vt:lpstr>'Załącznik Nr 1'!Obszar_wydruku</vt:lpstr>
      <vt:lpstr>'Załącznik Nr 10'!Obszar_wydruku</vt:lpstr>
      <vt:lpstr>'Załącznik Nr 12'!Obszar_wydruku</vt:lpstr>
      <vt:lpstr>'Załącznik Nr 13'!Obszar_wydruku</vt:lpstr>
      <vt:lpstr>'Załącznik Nr 2'!Obszar_wydruku</vt:lpstr>
      <vt:lpstr>'Załącznik Nr 3'!Obszar_wydruku</vt:lpstr>
      <vt:lpstr>'Załącznik Nr 4'!Obszar_wydruku</vt:lpstr>
      <vt:lpstr>'Załącznik Nr 5'!Obszar_wydruku</vt:lpstr>
      <vt:lpstr>'Załącznik Nr 6'!Obszar_wydruku</vt:lpstr>
      <vt:lpstr>'Załącznik Nr 7'!Obszar_wydruku</vt:lpstr>
      <vt:lpstr>'Załącznik Nr 9'!Obszar_wydruku</vt:lpstr>
      <vt:lpstr>'Tabela Nr 1'!Tytuły_wydruku</vt:lpstr>
      <vt:lpstr>'Tabela Nr 2'!Tytuły_wydruku</vt:lpstr>
      <vt:lpstr>'Tabela Nr 3'!Tytuły_wydruku</vt:lpstr>
      <vt:lpstr>'Zał Nr 11 adm.rzad.wyd.'!Tytuły_wydruku</vt:lpstr>
      <vt:lpstr>'Załącznik Nr 2'!Tytuły_wydruku</vt:lpstr>
      <vt:lpstr>'Załącznik Nr 3'!Tytuły_wydruku</vt:lpstr>
      <vt:lpstr>'Załącznik Nr 5'!Tytuły_wydruku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2018-01-03T10:54:01Z</dcterms:modified>
</cp:coreProperties>
</file>